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Luka\Downloads\"/>
    </mc:Choice>
  </mc:AlternateContent>
  <xr:revisionPtr revIDLastSave="0" documentId="13_ncr:1_{F0A726F0-5291-423E-9CC4-F68E81A0F20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alendario" sheetId="1" r:id="rId1"/>
  </sheet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3" i="1" l="1"/>
  <c r="A162" i="1"/>
  <c r="A161" i="1"/>
  <c r="A160" i="1"/>
  <c r="A159" i="1"/>
  <c r="A158" i="1"/>
  <c r="A157" i="1"/>
  <c r="A156" i="1"/>
  <c r="A155" i="1"/>
  <c r="A154" i="1"/>
  <c r="A153" i="1"/>
  <c r="A152" i="1"/>
  <c r="N112" i="1"/>
  <c r="C112" i="1" s="1"/>
  <c r="M112" i="1"/>
  <c r="N111" i="1"/>
  <c r="B111" i="1" s="1"/>
  <c r="M111" i="1"/>
  <c r="N110" i="1"/>
  <c r="C110" i="1" s="1"/>
  <c r="M110" i="1"/>
  <c r="H112" i="1" s="1" a="1"/>
  <c r="H112" i="1" s="1"/>
  <c r="N109" i="1"/>
  <c r="C109" i="1" s="1"/>
  <c r="M109" i="1"/>
  <c r="E112" i="1" s="1"/>
  <c r="N108" i="1"/>
  <c r="A108" i="1" s="1"/>
  <c r="M108" i="1"/>
  <c r="H110" i="1" s="1" a="1"/>
  <c r="H110" i="1" s="1"/>
  <c r="N107" i="1"/>
  <c r="B107" i="1" s="1"/>
  <c r="M107" i="1"/>
  <c r="E110" i="1" s="1" a="1"/>
  <c r="E110" i="1" s="1"/>
  <c r="N106" i="1"/>
  <c r="C106" i="1" s="1"/>
  <c r="M106" i="1"/>
  <c r="H109" i="1" s="1" a="1"/>
  <c r="H109" i="1" s="1"/>
  <c r="N105" i="1"/>
  <c r="C105" i="1" s="1"/>
  <c r="M105" i="1"/>
  <c r="E109" i="1" s="1" a="1"/>
  <c r="E109" i="1" s="1"/>
  <c r="N104" i="1"/>
  <c r="B104" i="1" s="1"/>
  <c r="M104" i="1"/>
  <c r="H108" i="1" s="1" a="1"/>
  <c r="H108" i="1" s="1"/>
  <c r="N103" i="1"/>
  <c r="A103" i="1" s="1"/>
  <c r="M103" i="1"/>
  <c r="E108" i="1" s="1" a="1"/>
  <c r="E108" i="1" s="1"/>
  <c r="N102" i="1"/>
  <c r="C102" i="1" s="1"/>
  <c r="M102" i="1"/>
  <c r="H106" i="1" s="1" a="1"/>
  <c r="H106" i="1" s="1"/>
  <c r="N101" i="1"/>
  <c r="C101" i="1" s="1"/>
  <c r="M101" i="1"/>
  <c r="E106" i="1" s="1" a="1"/>
  <c r="E106" i="1" s="1"/>
  <c r="N100" i="1"/>
  <c r="C100" i="1" s="1"/>
  <c r="M100" i="1"/>
  <c r="H107" i="1" s="1" a="1"/>
  <c r="H107" i="1" s="1"/>
  <c r="N99" i="1"/>
  <c r="C99" i="1" s="1"/>
  <c r="M99" i="1"/>
  <c r="E107" i="1" s="1" a="1"/>
  <c r="E107" i="1" s="1"/>
  <c r="N98" i="1"/>
  <c r="C98" i="1" s="1"/>
  <c r="M98" i="1"/>
  <c r="E105" i="1" s="1" a="1"/>
  <c r="E105" i="1" s="1"/>
  <c r="N97" i="1"/>
  <c r="C97" i="1" s="1"/>
  <c r="M97" i="1"/>
  <c r="H105" i="1" s="1" a="1"/>
  <c r="H105" i="1" s="1"/>
  <c r="N96" i="1"/>
  <c r="B96" i="1" s="1"/>
  <c r="M96" i="1"/>
  <c r="H104" i="1" s="1" a="1"/>
  <c r="H104" i="1" s="1"/>
  <c r="N95" i="1"/>
  <c r="B95" i="1" s="1"/>
  <c r="M95" i="1"/>
  <c r="E103" i="1" s="1" a="1"/>
  <c r="E103" i="1" s="1"/>
  <c r="N94" i="1"/>
  <c r="C94" i="1" s="1"/>
  <c r="M94" i="1"/>
  <c r="H103" i="1" s="1" a="1"/>
  <c r="H103" i="1" s="1"/>
  <c r="N93" i="1"/>
  <c r="A93" i="1" s="1"/>
  <c r="M93" i="1"/>
  <c r="E104" i="1" s="1" a="1"/>
  <c r="E104" i="1" s="1"/>
  <c r="N92" i="1"/>
  <c r="B92" i="1" s="1"/>
  <c r="M92" i="1"/>
  <c r="E101" i="1" s="1" a="1"/>
  <c r="E101" i="1" s="1"/>
  <c r="N91" i="1"/>
  <c r="C91" i="1" s="1"/>
  <c r="M91" i="1"/>
  <c r="H101" i="1" s="1" a="1"/>
  <c r="H101" i="1" s="1"/>
  <c r="N90" i="1"/>
  <c r="C90" i="1" s="1"/>
  <c r="M90" i="1"/>
  <c r="E102" i="1" s="1" a="1"/>
  <c r="E102" i="1" s="1"/>
  <c r="N89" i="1"/>
  <c r="C89" i="1" s="1"/>
  <c r="M89" i="1"/>
  <c r="H102" i="1" s="1" a="1"/>
  <c r="H102" i="1" s="1"/>
  <c r="N88" i="1"/>
  <c r="C88" i="1" s="1"/>
  <c r="M88" i="1"/>
  <c r="H100" i="1" s="1" a="1"/>
  <c r="H100" i="1" s="1"/>
  <c r="N87" i="1"/>
  <c r="C87" i="1" s="1"/>
  <c r="M87" i="1"/>
  <c r="E100" i="1" s="1" a="1"/>
  <c r="E100" i="1" s="1"/>
  <c r="N86" i="1"/>
  <c r="A86" i="1" s="1"/>
  <c r="M86" i="1"/>
  <c r="H98" i="1" s="1" a="1"/>
  <c r="H98" i="1" s="1"/>
  <c r="N85" i="1"/>
  <c r="C85" i="1" s="1"/>
  <c r="M85" i="1"/>
  <c r="H99" i="1" s="1" a="1"/>
  <c r="H99" i="1" s="1"/>
  <c r="AA84" i="1"/>
  <c r="Z84" i="1"/>
  <c r="X84" i="1"/>
  <c r="W84" i="1"/>
  <c r="V84" i="1"/>
  <c r="N84" i="1"/>
  <c r="B84" i="1" s="1"/>
  <c r="M84" i="1"/>
  <c r="H97" i="1" s="1" a="1"/>
  <c r="H97" i="1" s="1"/>
  <c r="AA83" i="1"/>
  <c r="Z83" i="1"/>
  <c r="X83" i="1"/>
  <c r="W83" i="1"/>
  <c r="V83" i="1"/>
  <c r="N83" i="1"/>
  <c r="B83" i="1" s="1"/>
  <c r="M83" i="1"/>
  <c r="E98" i="1" s="1" a="1"/>
  <c r="E98" i="1" s="1"/>
  <c r="AA82" i="1"/>
  <c r="Z82" i="1"/>
  <c r="X82" i="1"/>
  <c r="W82" i="1"/>
  <c r="V82" i="1"/>
  <c r="N82" i="1"/>
  <c r="B82" i="1" s="1"/>
  <c r="M82" i="1"/>
  <c r="E99" i="1" s="1" a="1"/>
  <c r="E99" i="1" s="1"/>
  <c r="AA81" i="1"/>
  <c r="Z81" i="1"/>
  <c r="X81" i="1"/>
  <c r="W81" i="1"/>
  <c r="V81" i="1"/>
  <c r="N81" i="1"/>
  <c r="A81" i="1" s="1"/>
  <c r="M81" i="1"/>
  <c r="E97" i="1" s="1" a="1"/>
  <c r="E97" i="1" s="1"/>
  <c r="N80" i="1"/>
  <c r="A80" i="1" s="1"/>
  <c r="N79" i="1"/>
  <c r="N78" i="1"/>
  <c r="C78" i="1" s="1"/>
  <c r="AA77" i="1"/>
  <c r="Z77" i="1"/>
  <c r="X77" i="1"/>
  <c r="W77" i="1"/>
  <c r="V77" i="1"/>
  <c r="N77" i="1"/>
  <c r="A77" i="1" s="1"/>
  <c r="AA76" i="1"/>
  <c r="Z76" i="1"/>
  <c r="X76" i="1"/>
  <c r="W76" i="1"/>
  <c r="V76" i="1"/>
  <c r="N76" i="1"/>
  <c r="A76" i="1" s="1"/>
  <c r="AA75" i="1"/>
  <c r="Z75" i="1"/>
  <c r="X75" i="1"/>
  <c r="W75" i="1"/>
  <c r="V75" i="1"/>
  <c r="N75" i="1"/>
  <c r="B75" i="1" s="1"/>
  <c r="C75" i="1"/>
  <c r="AA74" i="1"/>
  <c r="Z74" i="1"/>
  <c r="X74" i="1"/>
  <c r="W74" i="1"/>
  <c r="V74" i="1"/>
  <c r="N74" i="1"/>
  <c r="A74" i="1" s="1"/>
  <c r="N73" i="1"/>
  <c r="C73" i="1" s="1"/>
  <c r="N72" i="1"/>
  <c r="A72" i="1" s="1"/>
  <c r="N71" i="1"/>
  <c r="C71" i="1" s="1"/>
  <c r="AA70" i="1"/>
  <c r="Z70" i="1"/>
  <c r="X70" i="1"/>
  <c r="W70" i="1"/>
  <c r="V70" i="1"/>
  <c r="N70" i="1"/>
  <c r="C70" i="1" s="1"/>
  <c r="AA69" i="1"/>
  <c r="Z69" i="1"/>
  <c r="X69" i="1"/>
  <c r="W69" i="1"/>
  <c r="V69" i="1"/>
  <c r="N69" i="1"/>
  <c r="C69" i="1" s="1"/>
  <c r="AA68" i="1"/>
  <c r="Z68" i="1"/>
  <c r="X68" i="1"/>
  <c r="W68" i="1"/>
  <c r="V68" i="1"/>
  <c r="N68" i="1"/>
  <c r="C68" i="1" s="1"/>
  <c r="AA67" i="1"/>
  <c r="Z67" i="1"/>
  <c r="X67" i="1"/>
  <c r="W67" i="1"/>
  <c r="V67" i="1"/>
  <c r="N67" i="1"/>
  <c r="C67" i="1" s="1"/>
  <c r="N66" i="1"/>
  <c r="C66" i="1" s="1"/>
  <c r="N65" i="1"/>
  <c r="A65" i="1" s="1"/>
  <c r="N64" i="1"/>
  <c r="C64" i="1" s="1"/>
  <c r="AA63" i="1"/>
  <c r="Z63" i="1"/>
  <c r="X63" i="1"/>
  <c r="W63" i="1"/>
  <c r="V63" i="1"/>
  <c r="N63" i="1"/>
  <c r="A63" i="1" s="1"/>
  <c r="AA62" i="1"/>
  <c r="Z62" i="1"/>
  <c r="X62" i="1"/>
  <c r="W62" i="1"/>
  <c r="V62" i="1"/>
  <c r="N62" i="1"/>
  <c r="A62" i="1" s="1"/>
  <c r="AA61" i="1"/>
  <c r="Z61" i="1"/>
  <c r="X61" i="1"/>
  <c r="W61" i="1"/>
  <c r="V61" i="1"/>
  <c r="N61" i="1"/>
  <c r="C61" i="1" s="1"/>
  <c r="AA60" i="1"/>
  <c r="Z60" i="1"/>
  <c r="X60" i="1"/>
  <c r="W60" i="1"/>
  <c r="V60" i="1"/>
  <c r="N60" i="1"/>
  <c r="B60" i="1" s="1"/>
  <c r="N59" i="1"/>
  <c r="C59" i="1" s="1"/>
  <c r="N58" i="1"/>
  <c r="A58" i="1" s="1"/>
  <c r="N57" i="1"/>
  <c r="B57" i="1" s="1"/>
  <c r="AA56" i="1"/>
  <c r="Z56" i="1"/>
  <c r="X56" i="1"/>
  <c r="W56" i="1"/>
  <c r="V56" i="1"/>
  <c r="N56" i="1"/>
  <c r="B56" i="1" s="1"/>
  <c r="AA55" i="1"/>
  <c r="Z55" i="1"/>
  <c r="X55" i="1"/>
  <c r="W55" i="1"/>
  <c r="V55" i="1"/>
  <c r="N55" i="1"/>
  <c r="B55" i="1" s="1"/>
  <c r="C55" i="1"/>
  <c r="A55" i="1"/>
  <c r="AA54" i="1"/>
  <c r="Z54" i="1"/>
  <c r="X54" i="1"/>
  <c r="W54" i="1"/>
  <c r="V54" i="1"/>
  <c r="N54" i="1"/>
  <c r="C54" i="1" s="1"/>
  <c r="AA53" i="1"/>
  <c r="Z53" i="1"/>
  <c r="X53" i="1"/>
  <c r="W53" i="1"/>
  <c r="V53" i="1"/>
  <c r="N53" i="1"/>
  <c r="C53" i="1" s="1"/>
  <c r="N52" i="1"/>
  <c r="B52" i="1" s="1"/>
  <c r="N51" i="1"/>
  <c r="A51" i="1" s="1"/>
  <c r="N50" i="1"/>
  <c r="C50" i="1" s="1"/>
  <c r="AA49" i="1"/>
  <c r="Z49" i="1"/>
  <c r="X49" i="1"/>
  <c r="W49" i="1"/>
  <c r="V49" i="1"/>
  <c r="N49" i="1"/>
  <c r="B49" i="1" s="1"/>
  <c r="AA48" i="1"/>
  <c r="Z48" i="1"/>
  <c r="X48" i="1"/>
  <c r="W48" i="1"/>
  <c r="V48" i="1"/>
  <c r="N48" i="1"/>
  <c r="A48" i="1" s="1"/>
  <c r="AA47" i="1"/>
  <c r="Z47" i="1"/>
  <c r="X47" i="1"/>
  <c r="W47" i="1"/>
  <c r="V47" i="1"/>
  <c r="N47" i="1"/>
  <c r="A47" i="1" s="1"/>
  <c r="AA46" i="1"/>
  <c r="Z46" i="1"/>
  <c r="X46" i="1"/>
  <c r="W46" i="1"/>
  <c r="V46" i="1"/>
  <c r="N46" i="1"/>
  <c r="C46" i="1" s="1"/>
  <c r="N45" i="1"/>
  <c r="B45" i="1" s="1"/>
  <c r="N44" i="1"/>
  <c r="A44" i="1" s="1"/>
  <c r="N43" i="1"/>
  <c r="B43" i="1" s="1"/>
  <c r="AA42" i="1"/>
  <c r="Z42" i="1"/>
  <c r="X42" i="1"/>
  <c r="W42" i="1"/>
  <c r="V42" i="1"/>
  <c r="N42" i="1"/>
  <c r="A42" i="1" s="1"/>
  <c r="AA41" i="1"/>
  <c r="Z41" i="1"/>
  <c r="X41" i="1"/>
  <c r="W41" i="1"/>
  <c r="V41" i="1"/>
  <c r="N41" i="1"/>
  <c r="B41" i="1" s="1"/>
  <c r="AA40" i="1"/>
  <c r="Z40" i="1"/>
  <c r="X40" i="1"/>
  <c r="W40" i="1"/>
  <c r="V40" i="1"/>
  <c r="N40" i="1"/>
  <c r="B40" i="1" s="1"/>
  <c r="AA39" i="1"/>
  <c r="Z39" i="1"/>
  <c r="X39" i="1"/>
  <c r="W39" i="1"/>
  <c r="V39" i="1"/>
  <c r="N39" i="1"/>
  <c r="C39" i="1" s="1"/>
  <c r="N38" i="1"/>
  <c r="C38" i="1" s="1"/>
  <c r="N37" i="1"/>
  <c r="C37" i="1" s="1"/>
  <c r="N36" i="1"/>
  <c r="C36" i="1" s="1"/>
  <c r="AA35" i="1"/>
  <c r="Z35" i="1"/>
  <c r="X35" i="1"/>
  <c r="W35" i="1"/>
  <c r="V35" i="1"/>
  <c r="N35" i="1"/>
  <c r="C35" i="1" s="1"/>
  <c r="AA34" i="1"/>
  <c r="Z34" i="1"/>
  <c r="X34" i="1"/>
  <c r="W34" i="1"/>
  <c r="V34" i="1"/>
  <c r="N34" i="1"/>
  <c r="A34" i="1" s="1"/>
  <c r="AA33" i="1"/>
  <c r="Z33" i="1"/>
  <c r="X33" i="1"/>
  <c r="W33" i="1"/>
  <c r="V33" i="1"/>
  <c r="N33" i="1"/>
  <c r="B33" i="1" s="1"/>
  <c r="AA32" i="1"/>
  <c r="Z32" i="1"/>
  <c r="X32" i="1"/>
  <c r="W32" i="1"/>
  <c r="V32" i="1"/>
  <c r="N32" i="1"/>
  <c r="C32" i="1" s="1"/>
  <c r="N31" i="1"/>
  <c r="B31" i="1" s="1"/>
  <c r="N30" i="1"/>
  <c r="C30" i="1" s="1"/>
  <c r="N29" i="1"/>
  <c r="C29" i="1" s="1"/>
  <c r="AA28" i="1"/>
  <c r="Z28" i="1"/>
  <c r="X28" i="1"/>
  <c r="W28" i="1"/>
  <c r="V28" i="1"/>
  <c r="N28" i="1"/>
  <c r="C28" i="1" s="1"/>
  <c r="AA27" i="1"/>
  <c r="Z27" i="1"/>
  <c r="X27" i="1"/>
  <c r="W27" i="1"/>
  <c r="V27" i="1"/>
  <c r="N27" i="1"/>
  <c r="A27" i="1" s="1"/>
  <c r="AA26" i="1"/>
  <c r="Z26" i="1"/>
  <c r="X26" i="1"/>
  <c r="W26" i="1"/>
  <c r="V26" i="1"/>
  <c r="N26" i="1"/>
  <c r="C26" i="1" s="1"/>
  <c r="AA25" i="1"/>
  <c r="Z25" i="1"/>
  <c r="X25" i="1"/>
  <c r="W25" i="1"/>
  <c r="V25" i="1"/>
  <c r="N25" i="1"/>
  <c r="B25" i="1" s="1"/>
  <c r="N24" i="1"/>
  <c r="C24" i="1" s="1"/>
  <c r="N23" i="1"/>
  <c r="A23" i="1" s="1"/>
  <c r="N22" i="1"/>
  <c r="B22" i="1" s="1"/>
  <c r="BT21" i="1"/>
  <c r="AA21" i="1"/>
  <c r="Z21" i="1"/>
  <c r="X21" i="1"/>
  <c r="W21" i="1"/>
  <c r="V21" i="1"/>
  <c r="N21" i="1"/>
  <c r="B21" i="1" s="1"/>
  <c r="BT20" i="1"/>
  <c r="AA20" i="1"/>
  <c r="Z20" i="1"/>
  <c r="X20" i="1"/>
  <c r="W20" i="1"/>
  <c r="V20" i="1"/>
  <c r="N20" i="1"/>
  <c r="C20" i="1" s="1"/>
  <c r="BT19" i="1"/>
  <c r="AA19" i="1"/>
  <c r="Z19" i="1"/>
  <c r="X19" i="1"/>
  <c r="W19" i="1"/>
  <c r="V19" i="1"/>
  <c r="N19" i="1"/>
  <c r="C19" i="1" s="1"/>
  <c r="BT18" i="1"/>
  <c r="AA18" i="1"/>
  <c r="Z18" i="1"/>
  <c r="X18" i="1"/>
  <c r="W18" i="1"/>
  <c r="V18" i="1"/>
  <c r="N18" i="1"/>
  <c r="B18" i="1" s="1"/>
  <c r="BT17" i="1"/>
  <c r="N17" i="1"/>
  <c r="B17" i="1" s="1"/>
  <c r="BT16" i="1"/>
  <c r="N16" i="1"/>
  <c r="C16" i="1" s="1"/>
  <c r="BT15" i="1"/>
  <c r="N15" i="1"/>
  <c r="C15" i="1" s="1"/>
  <c r="BT14" i="1"/>
  <c r="AA14" i="1"/>
  <c r="Z14" i="1"/>
  <c r="X14" i="1"/>
  <c r="W14" i="1"/>
  <c r="V14" i="1"/>
  <c r="N14" i="1"/>
  <c r="C14" i="1" s="1"/>
  <c r="BT13" i="1"/>
  <c r="AA13" i="1"/>
  <c r="Z13" i="1"/>
  <c r="X13" i="1"/>
  <c r="W13" i="1"/>
  <c r="V13" i="1"/>
  <c r="N13" i="1"/>
  <c r="C13" i="1" s="1"/>
  <c r="BT12" i="1"/>
  <c r="AA12" i="1"/>
  <c r="Z12" i="1"/>
  <c r="X12" i="1"/>
  <c r="W12" i="1"/>
  <c r="V12" i="1"/>
  <c r="N12" i="1"/>
  <c r="C12" i="1" s="1"/>
  <c r="BT11" i="1"/>
  <c r="AA11" i="1"/>
  <c r="Z11" i="1"/>
  <c r="X11" i="1"/>
  <c r="W11" i="1"/>
  <c r="V11" i="1"/>
  <c r="N11" i="1"/>
  <c r="C11" i="1" s="1"/>
  <c r="BT10" i="1"/>
  <c r="N10" i="1"/>
  <c r="C10" i="1" s="1"/>
  <c r="N9" i="1"/>
  <c r="B9" i="1" s="1"/>
  <c r="AA7" i="1"/>
  <c r="Z7" i="1"/>
  <c r="X7" i="1"/>
  <c r="W7" i="1"/>
  <c r="V7" i="1"/>
  <c r="AA6" i="1"/>
  <c r="Z6" i="1"/>
  <c r="X6" i="1"/>
  <c r="W6" i="1"/>
  <c r="V6" i="1"/>
  <c r="AA5" i="1"/>
  <c r="Z5" i="1"/>
  <c r="X5" i="1"/>
  <c r="W5" i="1"/>
  <c r="V5" i="1"/>
  <c r="AA4" i="1"/>
  <c r="Z4" i="1"/>
  <c r="X4" i="1"/>
  <c r="W4" i="1"/>
  <c r="V4" i="1"/>
  <c r="B34" i="1" l="1"/>
  <c r="C34" i="1"/>
  <c r="B68" i="1"/>
  <c r="B28" i="1"/>
  <c r="C31" i="1"/>
  <c r="AC11" i="1"/>
  <c r="C62" i="1"/>
  <c r="AB60" i="1"/>
  <c r="AB26" i="1"/>
  <c r="C96" i="1"/>
  <c r="AB27" i="1"/>
  <c r="A28" i="1"/>
  <c r="C104" i="1"/>
  <c r="AB69" i="1"/>
  <c r="A16" i="1"/>
  <c r="A43" i="1"/>
  <c r="B16" i="1"/>
  <c r="C43" i="1"/>
  <c r="B62" i="1"/>
  <c r="AB47" i="1"/>
  <c r="AC14" i="1"/>
  <c r="A17" i="1"/>
  <c r="C103" i="1"/>
  <c r="Y27" i="1"/>
  <c r="C93" i="1"/>
  <c r="B64" i="1"/>
  <c r="AC74" i="1"/>
  <c r="C40" i="1"/>
  <c r="AC68" i="1"/>
  <c r="B77" i="1"/>
  <c r="AC20" i="1"/>
  <c r="AB46" i="1"/>
  <c r="B71" i="1"/>
  <c r="C77" i="1"/>
  <c r="AB84" i="1"/>
  <c r="A101" i="1"/>
  <c r="AC53" i="1"/>
  <c r="AB32" i="1"/>
  <c r="B58" i="1"/>
  <c r="AC69" i="1"/>
  <c r="AC81" i="1"/>
  <c r="AC83" i="1"/>
  <c r="B36" i="1"/>
  <c r="C48" i="1"/>
  <c r="A75" i="1"/>
  <c r="C80" i="1"/>
  <c r="AC6" i="1"/>
  <c r="AC19" i="1"/>
  <c r="C33" i="1"/>
  <c r="A73" i="1"/>
  <c r="Y11" i="1"/>
  <c r="B73" i="1"/>
  <c r="AB14" i="1"/>
  <c r="A31" i="1"/>
  <c r="AC56" i="1"/>
  <c r="AC21" i="1"/>
  <c r="A66" i="1"/>
  <c r="AB18" i="1"/>
  <c r="AB39" i="1"/>
  <c r="C57" i="1"/>
  <c r="B66" i="1"/>
  <c r="A102" i="1"/>
  <c r="AC12" i="1"/>
  <c r="B19" i="1"/>
  <c r="AB20" i="1"/>
  <c r="AC32" i="1"/>
  <c r="A36" i="1"/>
  <c r="B42" i="1"/>
  <c r="B48" i="1"/>
  <c r="AB49" i="1"/>
  <c r="B54" i="1"/>
  <c r="C58" i="1"/>
  <c r="C84" i="1"/>
  <c r="C60" i="1"/>
  <c r="AB61" i="1"/>
  <c r="AB70" i="1"/>
  <c r="B74" i="1"/>
  <c r="AC75" i="1"/>
  <c r="Y82" i="1"/>
  <c r="A84" i="1"/>
  <c r="B86" i="1"/>
  <c r="B90" i="1"/>
  <c r="B103" i="1"/>
  <c r="B105" i="1"/>
  <c r="C108" i="1"/>
  <c r="AC7" i="1"/>
  <c r="Y13" i="1"/>
  <c r="A35" i="1"/>
  <c r="A38" i="1"/>
  <c r="A57" i="1"/>
  <c r="C74" i="1"/>
  <c r="B81" i="1"/>
  <c r="AC82" i="1"/>
  <c r="C86" i="1"/>
  <c r="A95" i="1"/>
  <c r="AB7" i="1"/>
  <c r="AC13" i="1"/>
  <c r="B15" i="1"/>
  <c r="C18" i="1"/>
  <c r="C21" i="1"/>
  <c r="AB28" i="1"/>
  <c r="A32" i="1"/>
  <c r="AB33" i="1"/>
  <c r="B35" i="1"/>
  <c r="B38" i="1"/>
  <c r="A50" i="1"/>
  <c r="A71" i="1"/>
  <c r="AC77" i="1"/>
  <c r="C81" i="1"/>
  <c r="AB19" i="1"/>
  <c r="A45" i="1"/>
  <c r="B47" i="1"/>
  <c r="Y48" i="1"/>
  <c r="B50" i="1"/>
  <c r="AB5" i="1"/>
  <c r="C9" i="1"/>
  <c r="Y21" i="1"/>
  <c r="A29" i="1"/>
  <c r="C45" i="1"/>
  <c r="C47" i="1"/>
  <c r="AB67" i="1"/>
  <c r="AC35" i="1"/>
  <c r="A39" i="1"/>
  <c r="Y42" i="1"/>
  <c r="Y84" i="1"/>
  <c r="B101" i="1"/>
  <c r="Y6" i="1"/>
  <c r="A30" i="1"/>
  <c r="A46" i="1"/>
  <c r="AB74" i="1"/>
  <c r="A78" i="1"/>
  <c r="A88" i="1"/>
  <c r="A104" i="1"/>
  <c r="A107" i="1"/>
  <c r="Y12" i="1"/>
  <c r="AB25" i="1"/>
  <c r="B30" i="1"/>
  <c r="AB35" i="1"/>
  <c r="B46" i="1"/>
  <c r="AC47" i="1"/>
  <c r="A61" i="1"/>
  <c r="AC62" i="1"/>
  <c r="A70" i="1"/>
  <c r="B78" i="1"/>
  <c r="B88" i="1"/>
  <c r="B93" i="1"/>
  <c r="C107" i="1"/>
  <c r="Y14" i="1"/>
  <c r="C41" i="1"/>
  <c r="AB42" i="1"/>
  <c r="AB54" i="1"/>
  <c r="Y56" i="1"/>
  <c r="B59" i="1"/>
  <c r="AB81" i="1"/>
  <c r="AB6" i="1"/>
  <c r="A60" i="1"/>
  <c r="C17" i="1"/>
  <c r="B23" i="1"/>
  <c r="AC26" i="1"/>
  <c r="Y33" i="1"/>
  <c r="AC41" i="1"/>
  <c r="AB56" i="1"/>
  <c r="AB68" i="1"/>
  <c r="Y75" i="1"/>
  <c r="A105" i="1"/>
  <c r="B108" i="1"/>
  <c r="C23" i="1"/>
  <c r="B27" i="1"/>
  <c r="A41" i="1"/>
  <c r="C42" i="1"/>
  <c r="B44" i="1"/>
  <c r="C49" i="1"/>
  <c r="B51" i="1"/>
  <c r="C56" i="1"/>
  <c r="B63" i="1"/>
  <c r="B65" i="1"/>
  <c r="B72" i="1"/>
  <c r="B80" i="1"/>
  <c r="C83" i="1"/>
  <c r="B87" i="1"/>
  <c r="A91" i="1"/>
  <c r="A106" i="1"/>
  <c r="B110" i="1"/>
  <c r="C27" i="1"/>
  <c r="C44" i="1"/>
  <c r="C51" i="1"/>
  <c r="AB53" i="1"/>
  <c r="C63" i="1"/>
  <c r="C65" i="1"/>
  <c r="C72" i="1"/>
  <c r="A82" i="1"/>
  <c r="B106" i="1"/>
  <c r="A24" i="1"/>
  <c r="A26" i="1"/>
  <c r="A69" i="1"/>
  <c r="AB75" i="1"/>
  <c r="C82" i="1"/>
  <c r="AC84" i="1"/>
  <c r="C95" i="1"/>
  <c r="A98" i="1"/>
  <c r="A100" i="1"/>
  <c r="B102" i="1"/>
  <c r="Y4" i="1"/>
  <c r="B24" i="1"/>
  <c r="B26" i="1"/>
  <c r="A33" i="1"/>
  <c r="A40" i="1"/>
  <c r="A52" i="1"/>
  <c r="Y63" i="1"/>
  <c r="B69" i="1"/>
  <c r="Y83" i="1"/>
  <c r="C92" i="1"/>
  <c r="B98" i="1"/>
  <c r="B100" i="1"/>
  <c r="A111" i="1"/>
  <c r="AB13" i="1"/>
  <c r="A15" i="1"/>
  <c r="A19" i="1"/>
  <c r="AB21" i="1"/>
  <c r="C52" i="1"/>
  <c r="A54" i="1"/>
  <c r="A59" i="1"/>
  <c r="A68" i="1"/>
  <c r="AB77" i="1"/>
  <c r="C111" i="1"/>
  <c r="A96" i="1"/>
  <c r="E111" i="1"/>
  <c r="AB4" i="1"/>
  <c r="A18" i="1"/>
  <c r="A25" i="1"/>
  <c r="B29" i="1"/>
  <c r="B32" i="1"/>
  <c r="B39" i="1"/>
  <c r="A53" i="1"/>
  <c r="B61" i="1"/>
  <c r="AB63" i="1"/>
  <c r="AC76" i="1"/>
  <c r="AB83" i="1"/>
  <c r="A99" i="1"/>
  <c r="B109" i="1"/>
  <c r="H111" i="1"/>
  <c r="Y5" i="1"/>
  <c r="Y7" i="1"/>
  <c r="AB12" i="1"/>
  <c r="A22" i="1"/>
  <c r="C25" i="1"/>
  <c r="AB41" i="1"/>
  <c r="B53" i="1"/>
  <c r="A67" i="1"/>
  <c r="B99" i="1"/>
  <c r="AC5" i="1"/>
  <c r="Y19" i="1"/>
  <c r="C22" i="1"/>
  <c r="AB34" i="1"/>
  <c r="Y47" i="1"/>
  <c r="AB48" i="1"/>
  <c r="Y54" i="1"/>
  <c r="AB55" i="1"/>
  <c r="AB62" i="1"/>
  <c r="A64" i="1"/>
  <c r="B67" i="1"/>
  <c r="Y68" i="1"/>
  <c r="AB76" i="1"/>
  <c r="AB82" i="1"/>
  <c r="AC18" i="1"/>
  <c r="AB40" i="1"/>
  <c r="A49" i="1"/>
  <c r="A56" i="1"/>
  <c r="A97" i="1"/>
  <c r="AB11" i="1"/>
  <c r="A83" i="1"/>
  <c r="B97" i="1"/>
  <c r="A110" i="1"/>
  <c r="A12" i="1"/>
  <c r="Y20" i="1"/>
  <c r="B70" i="1"/>
  <c r="AC4" i="1"/>
  <c r="B12" i="1"/>
  <c r="Y25" i="1"/>
  <c r="Y32" i="1"/>
  <c r="AC25" i="1"/>
  <c r="AC39" i="1"/>
  <c r="AC48" i="1"/>
  <c r="AC60" i="1"/>
  <c r="A9" i="1"/>
  <c r="A21" i="1"/>
  <c r="Y26" i="1"/>
  <c r="Y28" i="1"/>
  <c r="A37" i="1"/>
  <c r="Y40" i="1"/>
  <c r="Y49" i="1"/>
  <c r="Y61" i="1"/>
  <c r="Y70" i="1"/>
  <c r="A10" i="1"/>
  <c r="A13" i="1"/>
  <c r="AC27" i="1"/>
  <c r="AC28" i="1"/>
  <c r="AC33" i="1"/>
  <c r="B37" i="1"/>
  <c r="Y39" i="1"/>
  <c r="AC40" i="1"/>
  <c r="AC49" i="1"/>
  <c r="Y60" i="1"/>
  <c r="AC61" i="1"/>
  <c r="Y69" i="1"/>
  <c r="AC70" i="1"/>
  <c r="B10" i="1"/>
  <c r="B13" i="1"/>
  <c r="Y34" i="1"/>
  <c r="Y35" i="1"/>
  <c r="Y41" i="1"/>
  <c r="Y53" i="1"/>
  <c r="Y62" i="1"/>
  <c r="Y74" i="1"/>
  <c r="Y81" i="1"/>
  <c r="AC34" i="1"/>
  <c r="C76" i="1"/>
  <c r="B76" i="1"/>
  <c r="Y77" i="1"/>
  <c r="C79" i="1"/>
  <c r="B79" i="1"/>
  <c r="A79" i="1"/>
  <c r="Y76" i="1"/>
  <c r="A11" i="1"/>
  <c r="A14" i="1"/>
  <c r="Y18" i="1"/>
  <c r="A20" i="1"/>
  <c r="AC42" i="1"/>
  <c r="AC54" i="1"/>
  <c r="AC63" i="1"/>
  <c r="B11" i="1"/>
  <c r="B14" i="1"/>
  <c r="B20" i="1"/>
  <c r="Y46" i="1"/>
  <c r="Y55" i="1"/>
  <c r="Y67" i="1"/>
  <c r="AC46" i="1"/>
  <c r="AC55" i="1"/>
  <c r="AC67" i="1"/>
  <c r="A90" i="1"/>
  <c r="A85" i="1"/>
  <c r="A109" i="1"/>
  <c r="B85" i="1"/>
  <c r="A92" i="1"/>
  <c r="A112" i="1"/>
  <c r="A87" i="1"/>
  <c r="B112" i="1"/>
  <c r="A94" i="1"/>
  <c r="A89" i="1"/>
  <c r="B94" i="1"/>
  <c r="B89" i="1"/>
  <c r="B91" i="1"/>
  <c r="AD76" i="1" l="1"/>
  <c r="AE14" i="1"/>
  <c r="AE82" i="1"/>
  <c r="AD41" i="1"/>
  <c r="AE6" i="1"/>
  <c r="AD11" i="1"/>
  <c r="AF14" i="1"/>
  <c r="AE81" i="1"/>
  <c r="AD14" i="1"/>
  <c r="AE69" i="1"/>
  <c r="AD12" i="1"/>
  <c r="AE83" i="1"/>
  <c r="AF83" i="1"/>
  <c r="AF12" i="1"/>
  <c r="AF21" i="1"/>
  <c r="AE11" i="1"/>
  <c r="AD13" i="1"/>
  <c r="AF84" i="1"/>
  <c r="AE12" i="1"/>
  <c r="AE13" i="1"/>
  <c r="AD77" i="1"/>
  <c r="AD84" i="1"/>
  <c r="AF13" i="1"/>
  <c r="AD56" i="1"/>
  <c r="AF82" i="1"/>
  <c r="AD82" i="1"/>
  <c r="AE84" i="1"/>
  <c r="AD81" i="1"/>
  <c r="AF11" i="1"/>
  <c r="AD83" i="1"/>
  <c r="AF77" i="1"/>
  <c r="AF81" i="1"/>
  <c r="AF7" i="1"/>
  <c r="AF20" i="1"/>
  <c r="AE76" i="1"/>
  <c r="AE5" i="1"/>
  <c r="AF76" i="1"/>
  <c r="AE75" i="1"/>
  <c r="AD75" i="1"/>
  <c r="AD74" i="1"/>
  <c r="AF74" i="1"/>
  <c r="AD7" i="1"/>
  <c r="AE7" i="1"/>
  <c r="AF5" i="1"/>
  <c r="AF75" i="1"/>
  <c r="AD6" i="1"/>
  <c r="AE20" i="1"/>
  <c r="AD18" i="1"/>
  <c r="AE18" i="1"/>
  <c r="AD20" i="1"/>
  <c r="AF18" i="1"/>
  <c r="AD19" i="1"/>
  <c r="AD21" i="1"/>
  <c r="AE19" i="1"/>
  <c r="AE21" i="1"/>
  <c r="AE53" i="1"/>
  <c r="AE62" i="1"/>
  <c r="AF19" i="1"/>
  <c r="AF69" i="1"/>
  <c r="AE32" i="1"/>
  <c r="AD47" i="1"/>
  <c r="AE74" i="1"/>
  <c r="AE77" i="1"/>
  <c r="AE40" i="1"/>
  <c r="AD40" i="1"/>
  <c r="AF40" i="1"/>
  <c r="AE35" i="1"/>
  <c r="AD5" i="1"/>
  <c r="AF6" i="1"/>
  <c r="AD62" i="1"/>
  <c r="AD53" i="1"/>
  <c r="AF35" i="1"/>
  <c r="AE49" i="1"/>
  <c r="AD49" i="1"/>
  <c r="AF49" i="1"/>
  <c r="AF56" i="1"/>
  <c r="AF53" i="1"/>
  <c r="AE28" i="1"/>
  <c r="AD28" i="1"/>
  <c r="AF28" i="1"/>
  <c r="AF63" i="1"/>
  <c r="AE63" i="1"/>
  <c r="AD63" i="1"/>
  <c r="AD27" i="1"/>
  <c r="AE27" i="1"/>
  <c r="AF27" i="1"/>
  <c r="AF48" i="1"/>
  <c r="AE48" i="1"/>
  <c r="AD48" i="1"/>
  <c r="AD35" i="1"/>
  <c r="AD69" i="1"/>
  <c r="AD68" i="1"/>
  <c r="AF67" i="1"/>
  <c r="AE67" i="1"/>
  <c r="AD67" i="1"/>
  <c r="AF54" i="1"/>
  <c r="AE54" i="1"/>
  <c r="AD54" i="1"/>
  <c r="AE68" i="1"/>
  <c r="AF34" i="1"/>
  <c r="AE34" i="1"/>
  <c r="AD34" i="1"/>
  <c r="AF39" i="1"/>
  <c r="AE39" i="1"/>
  <c r="AD39" i="1"/>
  <c r="AF68" i="1"/>
  <c r="AF55" i="1"/>
  <c r="AE55" i="1"/>
  <c r="AD55" i="1"/>
  <c r="AF42" i="1"/>
  <c r="AE42" i="1"/>
  <c r="AD42" i="1"/>
  <c r="AE56" i="1"/>
  <c r="AE70" i="1"/>
  <c r="AD70" i="1"/>
  <c r="AF70" i="1"/>
  <c r="AF25" i="1"/>
  <c r="AE25" i="1"/>
  <c r="AD25" i="1"/>
  <c r="AE26" i="1"/>
  <c r="AD33" i="1"/>
  <c r="AF33" i="1"/>
  <c r="AE33" i="1"/>
  <c r="AF60" i="1"/>
  <c r="AE60" i="1"/>
  <c r="AD60" i="1"/>
  <c r="AF46" i="1"/>
  <c r="AE46" i="1"/>
  <c r="AD46" i="1"/>
  <c r="AD32" i="1"/>
  <c r="AE47" i="1"/>
  <c r="AF26" i="1"/>
  <c r="AF32" i="1"/>
  <c r="AE61" i="1"/>
  <c r="AD61" i="1"/>
  <c r="AF61" i="1"/>
  <c r="AE41" i="1"/>
  <c r="AF4" i="1"/>
  <c r="AE4" i="1"/>
  <c r="AD4" i="1"/>
  <c r="AF47" i="1"/>
  <c r="AD26" i="1"/>
  <c r="AF62" i="1"/>
  <c r="AF41" i="1"/>
  <c r="AG13" i="1" l="1"/>
  <c r="AG83" i="1"/>
  <c r="AG81" i="1"/>
  <c r="AG82" i="1"/>
  <c r="AG14" i="1"/>
  <c r="AG11" i="1"/>
  <c r="AG12" i="1"/>
  <c r="AG19" i="1"/>
  <c r="AG74" i="1"/>
  <c r="AG84" i="1"/>
  <c r="AG26" i="1"/>
  <c r="AG41" i="1"/>
  <c r="AG77" i="1"/>
  <c r="AG62" i="1"/>
  <c r="AG6" i="1"/>
  <c r="AG20" i="1"/>
  <c r="AG18" i="1"/>
  <c r="BP10" i="1" s="1"/>
  <c r="AG70" i="1"/>
  <c r="AG76" i="1"/>
  <c r="AG33" i="1"/>
  <c r="AG68" i="1"/>
  <c r="AG47" i="1"/>
  <c r="AG55" i="1"/>
  <c r="AG27" i="1"/>
  <c r="AG40" i="1"/>
  <c r="AG5" i="1"/>
  <c r="AG75" i="1"/>
  <c r="AG46" i="1"/>
  <c r="C134" i="1" s="1"/>
  <c r="AG69" i="1"/>
  <c r="AG63" i="1"/>
  <c r="AG39" i="1"/>
  <c r="AG21" i="1"/>
  <c r="AG42" i="1"/>
  <c r="AG61" i="1"/>
  <c r="AG48" i="1"/>
  <c r="AG28" i="1"/>
  <c r="AG25" i="1"/>
  <c r="AG67" i="1"/>
  <c r="AG35" i="1"/>
  <c r="AG32" i="1"/>
  <c r="AG60" i="1"/>
  <c r="AG54" i="1"/>
  <c r="AG56" i="1"/>
  <c r="AG53" i="1"/>
  <c r="AG4" i="1"/>
  <c r="AG49" i="1"/>
  <c r="AG7" i="1"/>
  <c r="AG34" i="1"/>
  <c r="N142" i="1" l="1"/>
  <c r="G143" i="1"/>
  <c r="E92" i="1" s="1"/>
  <c r="L142" i="1"/>
  <c r="E88" i="1" s="1"/>
  <c r="BQ34" i="1"/>
  <c r="O142" i="1"/>
  <c r="BR34" i="1"/>
  <c r="BO34" i="1"/>
  <c r="BP34" i="1"/>
  <c r="M142" i="1"/>
  <c r="M127" i="1"/>
  <c r="O143" i="1"/>
  <c r="L143" i="1"/>
  <c r="H92" i="1" s="1"/>
  <c r="BO35" i="1"/>
  <c r="M143" i="1"/>
  <c r="BR35" i="1"/>
  <c r="BP35" i="1"/>
  <c r="N143" i="1"/>
  <c r="BQ35" i="1"/>
  <c r="O144" i="1"/>
  <c r="AJ13" i="1" s="1"/>
  <c r="BO36" i="1"/>
  <c r="M144" i="1"/>
  <c r="L144" i="1"/>
  <c r="AI13" i="1" s="1"/>
  <c r="AL13" i="1" s="1"/>
  <c r="BP36" i="1"/>
  <c r="BQ36" i="1"/>
  <c r="N144" i="1"/>
  <c r="AK13" i="1" s="1"/>
  <c r="BR36" i="1"/>
  <c r="BL35" i="1"/>
  <c r="N145" i="1"/>
  <c r="BL11" i="1"/>
  <c r="BJ11" i="1"/>
  <c r="I119" i="1"/>
  <c r="G119" i="1"/>
  <c r="H81" i="1" s="1"/>
  <c r="H119" i="1"/>
  <c r="J119" i="1"/>
  <c r="BK11" i="1"/>
  <c r="BM11" i="1"/>
  <c r="BL12" i="1"/>
  <c r="BM12" i="1"/>
  <c r="G120" i="1"/>
  <c r="AI3" i="1" s="1"/>
  <c r="AL3" i="1" s="1"/>
  <c r="J120" i="1"/>
  <c r="AJ3" i="1" s="1"/>
  <c r="BJ10" i="1"/>
  <c r="G121" i="1"/>
  <c r="J121" i="1"/>
  <c r="BJ13" i="1"/>
  <c r="H118" i="1"/>
  <c r="BK10" i="1"/>
  <c r="BL10" i="1"/>
  <c r="H121" i="1"/>
  <c r="BK13" i="1"/>
  <c r="H120" i="1"/>
  <c r="BL13" i="1"/>
  <c r="I118" i="1"/>
  <c r="BM10" i="1"/>
  <c r="BM13" i="1"/>
  <c r="I120" i="1"/>
  <c r="AK3" i="1" s="1"/>
  <c r="BJ12" i="1"/>
  <c r="I121" i="1"/>
  <c r="BK12" i="1"/>
  <c r="G118" i="1"/>
  <c r="E93" i="1" s="1"/>
  <c r="J118" i="1"/>
  <c r="M145" i="1"/>
  <c r="BM35" i="1"/>
  <c r="I143" i="1"/>
  <c r="BJ36" i="1"/>
  <c r="H143" i="1"/>
  <c r="J143" i="1"/>
  <c r="BL36" i="1"/>
  <c r="BJ35" i="1"/>
  <c r="BK35" i="1"/>
  <c r="BL37" i="1"/>
  <c r="BO37" i="1"/>
  <c r="L145" i="1"/>
  <c r="O145" i="1"/>
  <c r="BP37" i="1"/>
  <c r="BQ37" i="1"/>
  <c r="BR37" i="1"/>
  <c r="G142" i="1"/>
  <c r="E96" i="1" s="1"/>
  <c r="I145" i="1"/>
  <c r="BM37" i="1"/>
  <c r="BJ34" i="1"/>
  <c r="BJ37" i="1"/>
  <c r="H144" i="1"/>
  <c r="H145" i="1"/>
  <c r="J142" i="1"/>
  <c r="BP13" i="1"/>
  <c r="J145" i="1"/>
  <c r="O120" i="1"/>
  <c r="AJ4" i="1" s="1"/>
  <c r="L120" i="1"/>
  <c r="AI4" i="1" s="1"/>
  <c r="AL4" i="1" s="1"/>
  <c r="L128" i="1"/>
  <c r="AI7" i="1" s="1"/>
  <c r="AL7" i="1" s="1"/>
  <c r="BF27" i="1"/>
  <c r="BR11" i="1"/>
  <c r="L121" i="1"/>
  <c r="O121" i="1"/>
  <c r="N120" i="1"/>
  <c r="AK4" i="1" s="1"/>
  <c r="BP11" i="1"/>
  <c r="O119" i="1"/>
  <c r="BL34" i="1"/>
  <c r="H142" i="1"/>
  <c r="BM36" i="1"/>
  <c r="E135" i="1"/>
  <c r="BK36" i="1"/>
  <c r="I142" i="1"/>
  <c r="L119" i="1"/>
  <c r="H84" i="1" s="1"/>
  <c r="BQ13" i="1"/>
  <c r="BQ12" i="1"/>
  <c r="N128" i="1"/>
  <c r="AK7" i="1" s="1"/>
  <c r="M120" i="1"/>
  <c r="BH28" i="1"/>
  <c r="BK37" i="1"/>
  <c r="BM34" i="1"/>
  <c r="I144" i="1"/>
  <c r="AK12" i="1" s="1"/>
  <c r="M121" i="1"/>
  <c r="BK34" i="1"/>
  <c r="G144" i="1"/>
  <c r="AI12" i="1" s="1"/>
  <c r="AL12" i="1" s="1"/>
  <c r="J144" i="1"/>
  <c r="AJ12" i="1" s="1"/>
  <c r="BH27" i="1"/>
  <c r="G145" i="1"/>
  <c r="B134" i="1"/>
  <c r="E89" i="1" s="1"/>
  <c r="BQ19" i="1"/>
  <c r="BE27" i="1"/>
  <c r="BQ10" i="1"/>
  <c r="BO21" i="1"/>
  <c r="BR10" i="1"/>
  <c r="BP18" i="1"/>
  <c r="BO12" i="1"/>
  <c r="BR19" i="1"/>
  <c r="BO10" i="1"/>
  <c r="BR13" i="1"/>
  <c r="N121" i="1"/>
  <c r="N119" i="1"/>
  <c r="BR20" i="1"/>
  <c r="L118" i="1"/>
  <c r="E82" i="1" s="1"/>
  <c r="BO13" i="1"/>
  <c r="BR12" i="1"/>
  <c r="L126" i="1"/>
  <c r="E84" i="1" s="1"/>
  <c r="M118" i="1"/>
  <c r="L127" i="1"/>
  <c r="H82" i="1" s="1"/>
  <c r="O129" i="1"/>
  <c r="O126" i="1"/>
  <c r="N118" i="1"/>
  <c r="O127" i="1"/>
  <c r="O118" i="1"/>
  <c r="BP12" i="1"/>
  <c r="O128" i="1"/>
  <c r="AJ7" i="1" s="1"/>
  <c r="BQ18" i="1"/>
  <c r="M126" i="1"/>
  <c r="BE26" i="1"/>
  <c r="C135" i="1"/>
  <c r="M119" i="1"/>
  <c r="BQ21" i="1"/>
  <c r="C137" i="1"/>
  <c r="BR18" i="1"/>
  <c r="M128" i="1"/>
  <c r="BF26" i="1"/>
  <c r="BH26" i="1"/>
  <c r="BQ11" i="1"/>
  <c r="BR21" i="1"/>
  <c r="M129" i="1"/>
  <c r="BH29" i="1"/>
  <c r="BO19" i="1"/>
  <c r="BO20" i="1"/>
  <c r="N126" i="1"/>
  <c r="BG26" i="1"/>
  <c r="D134" i="1"/>
  <c r="BO11" i="1"/>
  <c r="BP19" i="1"/>
  <c r="BP20" i="1"/>
  <c r="N127" i="1"/>
  <c r="BG27" i="1"/>
  <c r="D135" i="1"/>
  <c r="BO18" i="1"/>
  <c r="BQ20" i="1"/>
  <c r="BG28" i="1"/>
  <c r="E134" i="1"/>
  <c r="N129" i="1"/>
  <c r="BE29" i="1"/>
  <c r="B135" i="1"/>
  <c r="H94" i="1" s="1"/>
  <c r="BP21" i="1"/>
  <c r="L129" i="1"/>
  <c r="BM27" i="1"/>
  <c r="J137" i="1"/>
  <c r="J136" i="1"/>
  <c r="AJ9" i="1" s="1"/>
  <c r="J135" i="1"/>
  <c r="J134" i="1"/>
  <c r="I137" i="1"/>
  <c r="I136" i="1"/>
  <c r="AK9" i="1" s="1"/>
  <c r="I135" i="1"/>
  <c r="I134" i="1"/>
  <c r="H137" i="1"/>
  <c r="H136" i="1"/>
  <c r="H135" i="1"/>
  <c r="H134" i="1"/>
  <c r="G137" i="1"/>
  <c r="G136" i="1"/>
  <c r="AI9" i="1" s="1"/>
  <c r="AL9" i="1" s="1"/>
  <c r="G135" i="1"/>
  <c r="H95" i="1" s="1"/>
  <c r="G134" i="1"/>
  <c r="E91" i="1" s="1"/>
  <c r="BM28" i="1"/>
  <c r="BM29" i="1"/>
  <c r="BL29" i="1"/>
  <c r="BK29" i="1"/>
  <c r="BL27" i="1"/>
  <c r="BM26" i="1"/>
  <c r="BJ29" i="1"/>
  <c r="BL28" i="1"/>
  <c r="BK27" i="1"/>
  <c r="BL26" i="1"/>
  <c r="BK28" i="1"/>
  <c r="BJ27" i="1"/>
  <c r="BK26" i="1"/>
  <c r="BJ28" i="1"/>
  <c r="BJ26" i="1"/>
  <c r="BF29" i="1"/>
  <c r="BG29" i="1"/>
  <c r="D136" i="1"/>
  <c r="AK8" i="1" s="1"/>
  <c r="O137" i="1"/>
  <c r="O136" i="1"/>
  <c r="AJ10" i="1" s="1"/>
  <c r="O135" i="1"/>
  <c r="O134" i="1"/>
  <c r="N137" i="1"/>
  <c r="N136" i="1"/>
  <c r="AK10" i="1" s="1"/>
  <c r="N135" i="1"/>
  <c r="N134" i="1"/>
  <c r="BR29" i="1"/>
  <c r="BR26" i="1"/>
  <c r="M137" i="1"/>
  <c r="M136" i="1"/>
  <c r="M135" i="1"/>
  <c r="M134" i="1"/>
  <c r="L137" i="1"/>
  <c r="L136" i="1"/>
  <c r="AI10" i="1" s="1"/>
  <c r="AL10" i="1" s="1"/>
  <c r="L135" i="1"/>
  <c r="H85" i="1" s="1"/>
  <c r="L134" i="1"/>
  <c r="E86" i="1" s="1"/>
  <c r="BR27" i="1"/>
  <c r="BO29" i="1"/>
  <c r="BR28" i="1"/>
  <c r="BQ27" i="1"/>
  <c r="BQ26" i="1"/>
  <c r="BQ28" i="1"/>
  <c r="BP27" i="1"/>
  <c r="BP26" i="1"/>
  <c r="BP28" i="1"/>
  <c r="BO27" i="1"/>
  <c r="BO26" i="1"/>
  <c r="BO28" i="1"/>
  <c r="BP29" i="1"/>
  <c r="BQ29" i="1"/>
  <c r="BE28" i="1"/>
  <c r="D137" i="1"/>
  <c r="J129" i="1"/>
  <c r="J128" i="1"/>
  <c r="AJ6" i="1" s="1"/>
  <c r="J127" i="1"/>
  <c r="J126" i="1"/>
  <c r="I129" i="1"/>
  <c r="I128" i="1"/>
  <c r="AK6" i="1" s="1"/>
  <c r="I127" i="1"/>
  <c r="I126" i="1"/>
  <c r="H129" i="1"/>
  <c r="H128" i="1"/>
  <c r="H127" i="1"/>
  <c r="H126" i="1"/>
  <c r="G129" i="1"/>
  <c r="G128" i="1"/>
  <c r="AI6" i="1" s="1"/>
  <c r="AL6" i="1" s="1"/>
  <c r="G127" i="1"/>
  <c r="E85" i="1" s="1"/>
  <c r="G126" i="1"/>
  <c r="E83" i="1" s="1"/>
  <c r="BK21" i="1"/>
  <c r="BJ21" i="1"/>
  <c r="BM19" i="1"/>
  <c r="BK18" i="1"/>
  <c r="BL19" i="1"/>
  <c r="BJ18" i="1"/>
  <c r="BK19" i="1"/>
  <c r="BJ19" i="1"/>
  <c r="BM20" i="1"/>
  <c r="BL20" i="1"/>
  <c r="BK20" i="1"/>
  <c r="BJ20" i="1"/>
  <c r="BL21" i="1"/>
  <c r="BM21" i="1"/>
  <c r="BM18" i="1"/>
  <c r="BL18" i="1"/>
  <c r="B136" i="1"/>
  <c r="AI8" i="1" s="1"/>
  <c r="AL8" i="1" s="1"/>
  <c r="B137" i="1"/>
  <c r="BF28" i="1"/>
  <c r="E136" i="1"/>
  <c r="AJ8" i="1" s="1"/>
  <c r="BH37" i="1"/>
  <c r="BH34" i="1"/>
  <c r="E145" i="1"/>
  <c r="E144" i="1"/>
  <c r="AJ11" i="1" s="1"/>
  <c r="E143" i="1"/>
  <c r="E142" i="1"/>
  <c r="D145" i="1"/>
  <c r="D144" i="1"/>
  <c r="AK11" i="1" s="1"/>
  <c r="D143" i="1"/>
  <c r="D142" i="1"/>
  <c r="BH35" i="1"/>
  <c r="C145" i="1"/>
  <c r="C144" i="1"/>
  <c r="C143" i="1"/>
  <c r="C142" i="1"/>
  <c r="B145" i="1"/>
  <c r="B144" i="1"/>
  <c r="AI11" i="1" s="1"/>
  <c r="AL11" i="1" s="1"/>
  <c r="B143" i="1"/>
  <c r="H91" i="1" s="1"/>
  <c r="B142" i="1"/>
  <c r="E95" i="1" s="1"/>
  <c r="BG37" i="1"/>
  <c r="BF37" i="1"/>
  <c r="BH36" i="1"/>
  <c r="BE37" i="1"/>
  <c r="BG36" i="1"/>
  <c r="BF36" i="1"/>
  <c r="BE36" i="1"/>
  <c r="BG35" i="1"/>
  <c r="BG34" i="1"/>
  <c r="BF35" i="1"/>
  <c r="BF34" i="1"/>
  <c r="BE35" i="1"/>
  <c r="BE34" i="1"/>
  <c r="E137" i="1"/>
  <c r="E121" i="1"/>
  <c r="E120" i="1"/>
  <c r="AJ2" i="1" s="1"/>
  <c r="E119" i="1"/>
  <c r="E118" i="1"/>
  <c r="D121" i="1"/>
  <c r="D120" i="1"/>
  <c r="AK2" i="1" s="1"/>
  <c r="D119" i="1"/>
  <c r="D118" i="1"/>
  <c r="C121" i="1"/>
  <c r="C120" i="1"/>
  <c r="C119" i="1"/>
  <c r="C118" i="1"/>
  <c r="B121" i="1"/>
  <c r="B120" i="1"/>
  <c r="AI2" i="1" s="1"/>
  <c r="AL2" i="1" s="1"/>
  <c r="B119" i="1"/>
  <c r="E81" i="1" s="1"/>
  <c r="B118" i="1"/>
  <c r="E87" i="1" s="1"/>
  <c r="BE12" i="1"/>
  <c r="BH11" i="1"/>
  <c r="BG11" i="1"/>
  <c r="BF11" i="1"/>
  <c r="BE11" i="1"/>
  <c r="BH13" i="1"/>
  <c r="BH10" i="1"/>
  <c r="BG13" i="1"/>
  <c r="BG10" i="1"/>
  <c r="BF13" i="1"/>
  <c r="BF10" i="1"/>
  <c r="BE13" i="1"/>
  <c r="BE10" i="1"/>
  <c r="BH12" i="1"/>
  <c r="BG12" i="1"/>
  <c r="BF12" i="1"/>
  <c r="BF21" i="1"/>
  <c r="E129" i="1"/>
  <c r="E128" i="1"/>
  <c r="AJ5" i="1" s="1"/>
  <c r="E127" i="1"/>
  <c r="E126" i="1"/>
  <c r="D129" i="1"/>
  <c r="D128" i="1"/>
  <c r="AK5" i="1" s="1"/>
  <c r="D127" i="1"/>
  <c r="D126" i="1"/>
  <c r="BH20" i="1"/>
  <c r="C129" i="1"/>
  <c r="C128" i="1"/>
  <c r="C127" i="1"/>
  <c r="C126" i="1"/>
  <c r="B129" i="1"/>
  <c r="B128" i="1"/>
  <c r="AI5" i="1" s="1"/>
  <c r="AL5" i="1" s="1"/>
  <c r="B127" i="1"/>
  <c r="E94" i="1" s="1"/>
  <c r="B126" i="1"/>
  <c r="E90" i="1" s="1"/>
  <c r="BH21" i="1"/>
  <c r="BG21" i="1"/>
  <c r="BH18" i="1"/>
  <c r="BG18" i="1"/>
  <c r="BE21" i="1"/>
  <c r="BH19" i="1"/>
  <c r="BF18" i="1"/>
  <c r="BG19" i="1"/>
  <c r="BE18" i="1"/>
  <c r="BF19" i="1"/>
  <c r="BE19" i="1"/>
  <c r="BG20" i="1"/>
  <c r="BF20" i="1"/>
  <c r="BE20" i="1"/>
  <c r="C136" i="1"/>
  <c r="AM8" i="1" l="1"/>
  <c r="AM4" i="1"/>
  <c r="AM12" i="1"/>
  <c r="AM5" i="1"/>
  <c r="AM11" i="1"/>
  <c r="AM6" i="1"/>
  <c r="AM2" i="1"/>
  <c r="AM7" i="1"/>
  <c r="AM3" i="1"/>
  <c r="AM13" i="1"/>
  <c r="AM10" i="1"/>
  <c r="AM9" i="1"/>
  <c r="F163" i="1" l="1"/>
  <c r="F161" i="1"/>
  <c r="F159" i="1"/>
  <c r="F157" i="1"/>
  <c r="F155" i="1"/>
  <c r="F153" i="1"/>
  <c r="E163" i="1"/>
  <c r="E161" i="1"/>
  <c r="E159" i="1"/>
  <c r="E157" i="1"/>
  <c r="E155" i="1"/>
  <c r="E153" i="1"/>
  <c r="BU21" i="1"/>
  <c r="D163" i="1"/>
  <c r="D161" i="1"/>
  <c r="D159" i="1"/>
  <c r="D157" i="1"/>
  <c r="D155" i="1"/>
  <c r="D153" i="1"/>
  <c r="C163" i="1"/>
  <c r="C161" i="1"/>
  <c r="C159" i="1"/>
  <c r="C157" i="1"/>
  <c r="C155" i="1"/>
  <c r="C153" i="1"/>
  <c r="B163" i="1"/>
  <c r="B161" i="1"/>
  <c r="B159" i="1"/>
  <c r="B157" i="1"/>
  <c r="B155" i="1"/>
  <c r="B153" i="1"/>
  <c r="F162" i="1"/>
  <c r="F160" i="1"/>
  <c r="F158" i="1"/>
  <c r="F156" i="1"/>
  <c r="F154" i="1"/>
  <c r="F152" i="1"/>
  <c r="E162" i="1"/>
  <c r="E160" i="1"/>
  <c r="E158" i="1"/>
  <c r="E156" i="1"/>
  <c r="E154" i="1"/>
  <c r="E152" i="1"/>
  <c r="D162" i="1"/>
  <c r="D160" i="1"/>
  <c r="D158" i="1"/>
  <c r="D156" i="1"/>
  <c r="D154" i="1"/>
  <c r="D152" i="1"/>
  <c r="C162" i="1"/>
  <c r="C160" i="1"/>
  <c r="C158" i="1"/>
  <c r="C156" i="1"/>
  <c r="C154" i="1"/>
  <c r="C152" i="1"/>
  <c r="BY21" i="1"/>
  <c r="BW20" i="1"/>
  <c r="BU19" i="1"/>
  <c r="B162" i="1"/>
  <c r="B160" i="1"/>
  <c r="B158" i="1"/>
  <c r="B156" i="1"/>
  <c r="B154" i="1"/>
  <c r="B152" i="1"/>
  <c r="BY18" i="1"/>
  <c r="BW17" i="1"/>
  <c r="BU16" i="1"/>
  <c r="BX11" i="1"/>
  <c r="BX18" i="1"/>
  <c r="BV17" i="1"/>
  <c r="BW11" i="1"/>
  <c r="BX21" i="1"/>
  <c r="BW18" i="1"/>
  <c r="BU17" i="1"/>
  <c r="BV11" i="1"/>
  <c r="BV18" i="1"/>
  <c r="BW21" i="1"/>
  <c r="BY19" i="1"/>
  <c r="BY13" i="1"/>
  <c r="BU11" i="1"/>
  <c r="BY10" i="1"/>
  <c r="BV21" i="1"/>
  <c r="BX19" i="1"/>
  <c r="BU18" i="1"/>
  <c r="BY14" i="1"/>
  <c r="BX13" i="1"/>
  <c r="BX10" i="1"/>
  <c r="BW19" i="1"/>
  <c r="BX14" i="1"/>
  <c r="BW13" i="1"/>
  <c r="BW10" i="1"/>
  <c r="BV19" i="1"/>
  <c r="BY15" i="1"/>
  <c r="BW14" i="1"/>
  <c r="BV13" i="1"/>
  <c r="BV10" i="1"/>
  <c r="BX15" i="1"/>
  <c r="BV14" i="1"/>
  <c r="BU13" i="1"/>
  <c r="BY12" i="1"/>
  <c r="BU10" i="1"/>
  <c r="BY20" i="1"/>
  <c r="BY16" i="1"/>
  <c r="BW15" i="1"/>
  <c r="BU14" i="1"/>
  <c r="BX12" i="1"/>
  <c r="BX20" i="1"/>
  <c r="BX16" i="1"/>
  <c r="BV15" i="1"/>
  <c r="BW12" i="1"/>
  <c r="BV20" i="1"/>
  <c r="BY17" i="1"/>
  <c r="BW16" i="1"/>
  <c r="BU15" i="1"/>
  <c r="BV12" i="1"/>
  <c r="BU20" i="1"/>
  <c r="BX17" i="1"/>
  <c r="BV16" i="1"/>
  <c r="BU12" i="1"/>
  <c r="BY11" i="1"/>
  <c r="AX12" i="1" l="1"/>
  <c r="AX5" i="1"/>
  <c r="AX6" i="1"/>
  <c r="AX11" i="1"/>
  <c r="AX7" i="1"/>
  <c r="AX3" i="1"/>
  <c r="AX13" i="1"/>
  <c r="AX10" i="1"/>
  <c r="AX9" i="1"/>
  <c r="AX14" i="1"/>
  <c r="AX8" i="1"/>
  <c r="AX4" i="1"/>
  <c r="AX2" i="1" l="1"/>
  <c r="H89" i="1" l="1"/>
  <c r="AN6" i="1" s="1"/>
  <c r="H87" i="1"/>
  <c r="AN4" i="1" s="1"/>
  <c r="H90" i="1"/>
  <c r="AN7" i="1" s="1"/>
  <c r="H83" i="1"/>
  <c r="AN2" i="1" s="1"/>
  <c r="H88" i="1"/>
  <c r="AN5" i="1" s="1"/>
  <c r="H93" i="1"/>
  <c r="AN8" i="1" s="1"/>
  <c r="H96" i="1"/>
  <c r="AN9" i="1" s="1"/>
  <c r="H86" i="1"/>
  <c r="AN3" i="1" s="1"/>
  <c r="BA5" i="1"/>
  <c r="BB5" i="1" s="1"/>
  <c r="BA6" i="1"/>
  <c r="BB6" i="1" s="1"/>
  <c r="BA2" i="1"/>
  <c r="BB2" i="1" s="1"/>
  <c r="BA7" i="1"/>
  <c r="BB7" i="1" s="1"/>
  <c r="BA3" i="1"/>
  <c r="BB3" i="1" s="1"/>
  <c r="BA9" i="1"/>
  <c r="BB9" i="1" s="1"/>
  <c r="BA8" i="1"/>
  <c r="BB8" i="1" s="1"/>
  <c r="BA4" i="1"/>
  <c r="BB4" i="1" s="1"/>
</calcChain>
</file>

<file path=xl/sharedStrings.xml><?xml version="1.0" encoding="utf-8"?>
<sst xmlns="http://schemas.openxmlformats.org/spreadsheetml/2006/main" count="5321" uniqueCount="654">
  <si>
    <t>Calendario interactivo del Mundial 2026</t>
  </si>
  <si>
    <t>País</t>
  </si>
  <si>
    <t>Diferencia vs EDT</t>
  </si>
  <si>
    <t>Grupo</t>
  </si>
  <si>
    <t>Equipo</t>
  </si>
  <si>
    <t>Pts</t>
  </si>
  <si>
    <t>DG</t>
  </si>
  <si>
    <t>GF</t>
  </si>
  <si>
    <t>Orden</t>
  </si>
  <si>
    <t>Terceros asignados</t>
  </si>
  <si>
    <t>Clave terceros</t>
  </si>
  <si>
    <t>M74</t>
  </si>
  <si>
    <t>M77</t>
  </si>
  <si>
    <t>M79</t>
  </si>
  <si>
    <t>M80</t>
  </si>
  <si>
    <t>M82</t>
  </si>
  <si>
    <t>M81</t>
  </si>
  <si>
    <t>M85</t>
  </si>
  <si>
    <t>M87</t>
  </si>
  <si>
    <t>Clave terceros activa</t>
  </si>
  <si>
    <t>Partido</t>
  </si>
  <si>
    <t>Columna matriz</t>
  </si>
  <si>
    <t>Grupo 3º asignado</t>
  </si>
  <si>
    <t>Equipo 3º asignado</t>
  </si>
  <si>
    <t>Seleccione país/zona horaria en B2:</t>
  </si>
  <si>
    <t>México</t>
  </si>
  <si>
    <t>Nota: las horas originales están en US EDT / UTC-4. México se calcula con horario de Ciudad de México.</t>
  </si>
  <si>
    <t>España</t>
  </si>
  <si>
    <t>A</t>
  </si>
  <si>
    <t>ABCDEFGH</t>
  </si>
  <si>
    <t>D</t>
  </si>
  <si>
    <t>G</t>
  </si>
  <si>
    <t>C</t>
  </si>
  <si>
    <t>H</t>
  </si>
  <si>
    <t>B</t>
  </si>
  <si>
    <t>F</t>
  </si>
  <si>
    <t>E</t>
  </si>
  <si>
    <t>AP</t>
  </si>
  <si>
    <t>Introduzca los goles en las columnas amarillas. En eliminatorias, si hay empate, use columnas K y L para notar goles en Tiempo Extra/Penales y asi definir el clasificado.</t>
  </si>
  <si>
    <t>PJ</t>
  </si>
  <si>
    <t>P</t>
  </si>
  <si>
    <t>GC</t>
  </si>
  <si>
    <t>H2H Pts</t>
  </si>
  <si>
    <t>H2H DG</t>
  </si>
  <si>
    <t>H2H GF</t>
  </si>
  <si>
    <t>ABCDEFGI</t>
  </si>
  <si>
    <t>I</t>
  </si>
  <si>
    <t>AQ</t>
  </si>
  <si>
    <t>Chile</t>
  </si>
  <si>
    <t>ABCDEFGJ</t>
  </si>
  <si>
    <t>J</t>
  </si>
  <si>
    <t>AR</t>
  </si>
  <si>
    <t>Perú</t>
  </si>
  <si>
    <t>Sudáfrica</t>
  </si>
  <si>
    <t>ABCDEFGK</t>
  </si>
  <si>
    <t>K</t>
  </si>
  <si>
    <t>AS</t>
  </si>
  <si>
    <t>Colombia</t>
  </si>
  <si>
    <t>Corea del Sur</t>
  </si>
  <si>
    <t>ABCDEFGL</t>
  </si>
  <si>
    <t>L</t>
  </si>
  <si>
    <t>AT</t>
  </si>
  <si>
    <t>Argentina</t>
  </si>
  <si>
    <t>República Checa</t>
  </si>
  <si>
    <t>ABCDEFHI</t>
  </si>
  <si>
    <t>AU</t>
  </si>
  <si>
    <t>Día</t>
  </si>
  <si>
    <t>Fecha</t>
  </si>
  <si>
    <t>Hora</t>
  </si>
  <si>
    <t>Fase</t>
  </si>
  <si>
    <t>Equipo 1</t>
  </si>
  <si>
    <t>Goles 1</t>
  </si>
  <si>
    <t>Goles 2</t>
  </si>
  <si>
    <t>Equipo 2</t>
  </si>
  <si>
    <t>Estadio</t>
  </si>
  <si>
    <t>FechaHora local</t>
  </si>
  <si>
    <t>Ecuador</t>
  </si>
  <si>
    <t>ABCDEFHJ</t>
  </si>
  <si>
    <t>AV</t>
  </si>
  <si>
    <t>Grupo A</t>
  </si>
  <si>
    <t>Grupo B</t>
  </si>
  <si>
    <t>Grupo C</t>
  </si>
  <si>
    <t>Mejores terceros</t>
  </si>
  <si>
    <t>Estadio Azteca, Mexico City</t>
  </si>
  <si>
    <t>ABCDEFHK</t>
  </si>
  <si>
    <t>AW</t>
  </si>
  <si>
    <t>Pos</t>
  </si>
  <si>
    <t>Rank</t>
  </si>
  <si>
    <t>Estadio Akron, Zapopan</t>
  </si>
  <si>
    <t>ABCDEFHL</t>
  </si>
  <si>
    <t>Canadá</t>
  </si>
  <si>
    <t>Bosnia y Herzegovina</t>
  </si>
  <si>
    <t>BMO Field, Toronto</t>
  </si>
  <si>
    <t>ABCDEFIJ</t>
  </si>
  <si>
    <t>Grupo D</t>
  </si>
  <si>
    <t>Estados Unidos</t>
  </si>
  <si>
    <t>Paraguay</t>
  </si>
  <si>
    <t>SoFi Stadium, Inglewood</t>
  </si>
  <si>
    <t>ABCDEFIK</t>
  </si>
  <si>
    <t>Catar</t>
  </si>
  <si>
    <t>Suiza</t>
  </si>
  <si>
    <t>Levi's Stadium, Santa Clara</t>
  </si>
  <si>
    <t>ABCDEFIL</t>
  </si>
  <si>
    <t>Brasil</t>
  </si>
  <si>
    <t>Marruecos</t>
  </si>
  <si>
    <t>MetLife Stadium, East Rutherford</t>
  </si>
  <si>
    <t>ABCDEFJK</t>
  </si>
  <si>
    <t>Haití</t>
  </si>
  <si>
    <t>Escocia</t>
  </si>
  <si>
    <t>Gillette Stadium, Foxborough</t>
  </si>
  <si>
    <t>ABCDEFJL</t>
  </si>
  <si>
    <t>Australia</t>
  </si>
  <si>
    <t>Turquía</t>
  </si>
  <si>
    <t>BC Place, Vancouver</t>
  </si>
  <si>
    <t>ABCDEFKL</t>
  </si>
  <si>
    <t>Grupo E</t>
  </si>
  <si>
    <t>Grupo F</t>
  </si>
  <si>
    <t>Alemania</t>
  </si>
  <si>
    <t>Curazao</t>
  </si>
  <si>
    <t>NRG Stadium, Houston</t>
  </si>
  <si>
    <t>ABCDEGHI</t>
  </si>
  <si>
    <t>Países Bajos</t>
  </si>
  <si>
    <t>Japón</t>
  </si>
  <si>
    <t>AT&amp;T Stadium, Arlington</t>
  </si>
  <si>
    <t>ABCDEGHJ</t>
  </si>
  <si>
    <t>Costa de Marfil</t>
  </si>
  <si>
    <t>Lincoln Financial Field, Philadelphia</t>
  </si>
  <si>
    <t>ABCDEGHK</t>
  </si>
  <si>
    <t>Suecia</t>
  </si>
  <si>
    <t>Túnez</t>
  </si>
  <si>
    <t>Estadio BBVA, Guadalupe</t>
  </si>
  <si>
    <t>ABCDEGHL</t>
  </si>
  <si>
    <t>Grupo H</t>
  </si>
  <si>
    <t>Cabo Verde</t>
  </si>
  <si>
    <t>Mercedes-Benz Stadium, Atlanta</t>
  </si>
  <si>
    <t>ABCDEGIJ</t>
  </si>
  <si>
    <t>Grupo G</t>
  </si>
  <si>
    <t>Bélgica</t>
  </si>
  <si>
    <t>Egipto</t>
  </si>
  <si>
    <t>Lumen Field, Seattle</t>
  </si>
  <si>
    <t>ABCDEGIK</t>
  </si>
  <si>
    <t>Arabia Saudita</t>
  </si>
  <si>
    <t>Uruguay</t>
  </si>
  <si>
    <t>Hard Rock Stadium, Miami Gardens</t>
  </si>
  <si>
    <t>ABCDEGIL</t>
  </si>
  <si>
    <t>Criterios usados:</t>
  </si>
  <si>
    <t>Puntos, diferencia de goles, goles a favor, enfrentamientos directos y orden alfabético si persiste el empate. Los ocho mejores terceros avanzan automáticamente.</t>
  </si>
  <si>
    <t>Irán</t>
  </si>
  <si>
    <t>Nueva Zelanda</t>
  </si>
  <si>
    <t>ABCDEGJK</t>
  </si>
  <si>
    <t>Grupo I</t>
  </si>
  <si>
    <t>Compatibilidad</t>
  </si>
  <si>
    <t>Requiere Excel con funciones modernas (XLOOKUP/FILTER) para actualizar automáticamente eliminatorias y terceros.</t>
  </si>
  <si>
    <t>Francia</t>
  </si>
  <si>
    <t>Senegal</t>
  </si>
  <si>
    <t>ABCDEGJL</t>
  </si>
  <si>
    <t>Irak</t>
  </si>
  <si>
    <t>Noruega</t>
  </si>
  <si>
    <t>ABCDEGKL</t>
  </si>
  <si>
    <t>Grupo J</t>
  </si>
  <si>
    <t>Argelia</t>
  </si>
  <si>
    <t>Arrowhead Stadium, Kansas City</t>
  </si>
  <si>
    <t>ABCDEHIJ</t>
  </si>
  <si>
    <t>Austria</t>
  </si>
  <si>
    <t>Jordania</t>
  </si>
  <si>
    <t>ABCDEHIK</t>
  </si>
  <si>
    <t>Grupo K</t>
  </si>
  <si>
    <t>Portugal</t>
  </si>
  <si>
    <t>RD Congo</t>
  </si>
  <si>
    <t>ABCDEHIL</t>
  </si>
  <si>
    <t>Grupo L</t>
  </si>
  <si>
    <t>Inglaterra</t>
  </si>
  <si>
    <t>Croacia</t>
  </si>
  <si>
    <t>ABCDEHJK</t>
  </si>
  <si>
    <t>Ghana</t>
  </si>
  <si>
    <t>Panamá</t>
  </si>
  <si>
    <t>ABCDEHJL</t>
  </si>
  <si>
    <t>Uzbekistán</t>
  </si>
  <si>
    <t>ABCDEHKL</t>
  </si>
  <si>
    <t>ABCDEIJK</t>
  </si>
  <si>
    <t>ABCDEIJL</t>
  </si>
  <si>
    <t>ABCDEIKL</t>
  </si>
  <si>
    <t>ABCDEJKL</t>
  </si>
  <si>
    <t>ABCDFGHI</t>
  </si>
  <si>
    <t>ABCDFGHJ</t>
  </si>
  <si>
    <t>ABCDFGHK</t>
  </si>
  <si>
    <t>ABCDFGHL</t>
  </si>
  <si>
    <t>ABCDFGIJ</t>
  </si>
  <si>
    <t>ABCDFGIK</t>
  </si>
  <si>
    <t>ABCDFGIL</t>
  </si>
  <si>
    <t>ABCDFGJK</t>
  </si>
  <si>
    <t>ABCDFGJL</t>
  </si>
  <si>
    <t>Sofi Stadium, Inglewood</t>
  </si>
  <si>
    <t>ABCDFGKL</t>
  </si>
  <si>
    <t>ABCDFHIJ</t>
  </si>
  <si>
    <t>ABCDFHIK</t>
  </si>
  <si>
    <t>ABCDFHIL</t>
  </si>
  <si>
    <t>ABCDFHJK</t>
  </si>
  <si>
    <t>ABCDFHJL</t>
  </si>
  <si>
    <t>ABCDFHKL</t>
  </si>
  <si>
    <t>ABCDFIJK</t>
  </si>
  <si>
    <t>ABCDFIJL</t>
  </si>
  <si>
    <t>ABCDFIKL</t>
  </si>
  <si>
    <t>ABCDFJKL</t>
  </si>
  <si>
    <t>ABCDGHIJ</t>
  </si>
  <si>
    <t>ABCDGHIK</t>
  </si>
  <si>
    <t>ABCDGHIL</t>
  </si>
  <si>
    <t>ABCDGHJK</t>
  </si>
  <si>
    <t>ABCDGHJL</t>
  </si>
  <si>
    <t>ABCDGHKL</t>
  </si>
  <si>
    <t>ABCDGIJK</t>
  </si>
  <si>
    <t>ABCDGIJL</t>
  </si>
  <si>
    <t>ABCDGIKL</t>
  </si>
  <si>
    <t>ABCDGJKL</t>
  </si>
  <si>
    <t>ABCDHIJK</t>
  </si>
  <si>
    <t>ABCDHIJL</t>
  </si>
  <si>
    <t>ABCDHIKL</t>
  </si>
  <si>
    <t>ABCDHJKL</t>
  </si>
  <si>
    <t>ABCDIJKL</t>
  </si>
  <si>
    <t>ABCEFGHI</t>
  </si>
  <si>
    <t>ABCEFGHJ</t>
  </si>
  <si>
    <t>ABCEFGHK</t>
  </si>
  <si>
    <t>ABCEFGHL</t>
  </si>
  <si>
    <t>ABCEFGIJ</t>
  </si>
  <si>
    <t>ABCEFGIK</t>
  </si>
  <si>
    <t>ABCEFGIL</t>
  </si>
  <si>
    <t>Tiempo Extra/Penales</t>
  </si>
  <si>
    <t>ABCEFGJK</t>
  </si>
  <si>
    <t>Clasificado</t>
  </si>
  <si>
    <t>ABCEFGJL</t>
  </si>
  <si>
    <t>Dieciseisavos de final</t>
  </si>
  <si>
    <t>ABCEFGKL</t>
  </si>
  <si>
    <t>ABCEFHIJ</t>
  </si>
  <si>
    <t>ABCEFHIK</t>
  </si>
  <si>
    <t>ABCEFHIL</t>
  </si>
  <si>
    <t>ABCEFHJK</t>
  </si>
  <si>
    <t>ABCEFHJL</t>
  </si>
  <si>
    <t>ABCEFHKL</t>
  </si>
  <si>
    <t>ABCEFIJK</t>
  </si>
  <si>
    <t>ABCEFIJL</t>
  </si>
  <si>
    <t>ABCEFIKL</t>
  </si>
  <si>
    <t>ABCEFJKL</t>
  </si>
  <si>
    <t>ABCEGHIJ</t>
  </si>
  <si>
    <t>ABCEGHIK</t>
  </si>
  <si>
    <t>ABCEGHIL</t>
  </si>
  <si>
    <t>ABCEGHJK</t>
  </si>
  <si>
    <t>ABCEGHJL</t>
  </si>
  <si>
    <t>Octavos de final</t>
  </si>
  <si>
    <t>ABCEGHKL</t>
  </si>
  <si>
    <t>ABCEGIJK</t>
  </si>
  <si>
    <t>ABCEGIJL</t>
  </si>
  <si>
    <t>ABCEGIKL</t>
  </si>
  <si>
    <t>ABCEGJKL</t>
  </si>
  <si>
    <t>ABCEHIJK</t>
  </si>
  <si>
    <t>ABCEHIJL</t>
  </si>
  <si>
    <t>ABCEHIKL</t>
  </si>
  <si>
    <t>Cuartos de final</t>
  </si>
  <si>
    <t>ABCEHJKL</t>
  </si>
  <si>
    <t>ABCEIJKL</t>
  </si>
  <si>
    <t>ABCFGHIJ</t>
  </si>
  <si>
    <t>ABCFGHIK</t>
  </si>
  <si>
    <t>Semifinales</t>
  </si>
  <si>
    <t>ABCFGHIL</t>
  </si>
  <si>
    <t>ABCFGHJK</t>
  </si>
  <si>
    <t>Tercer puesto</t>
  </si>
  <si>
    <t>ABCFGHJL</t>
  </si>
  <si>
    <t>Final</t>
  </si>
  <si>
    <t>ABCFGHKL</t>
  </si>
  <si>
    <t>Clasificaciones de grupos</t>
  </si>
  <si>
    <t>ABCFGIJK</t>
  </si>
  <si>
    <t>ABCFGIJL</t>
  </si>
  <si>
    <t>ABCFGIKL</t>
  </si>
  <si>
    <t>ABCFGJKL</t>
  </si>
  <si>
    <t>ABCFHIJK</t>
  </si>
  <si>
    <t>ABCFHIJL</t>
  </si>
  <si>
    <t>ABCFHIKL</t>
  </si>
  <si>
    <t>ABCFHJKL</t>
  </si>
  <si>
    <t>ABCFIJKL</t>
  </si>
  <si>
    <t>ABCGHIJK</t>
  </si>
  <si>
    <t>ABCGHIJL</t>
  </si>
  <si>
    <t>ABCGHIKL</t>
  </si>
  <si>
    <t>ABCGHJKL</t>
  </si>
  <si>
    <t>ABCGIJKL</t>
  </si>
  <si>
    <t>ABCHIJKL</t>
  </si>
  <si>
    <t>ABDEFGHI</t>
  </si>
  <si>
    <t>ABDEFGHJ</t>
  </si>
  <si>
    <t>ABDEFGHK</t>
  </si>
  <si>
    <t>ABDEFGHL</t>
  </si>
  <si>
    <t>ABDEFGIJ</t>
  </si>
  <si>
    <t>ABDEFGIK</t>
  </si>
  <si>
    <t>ABDEFGIL</t>
  </si>
  <si>
    <t>ABDEFGJK</t>
  </si>
  <si>
    <t>ABDEFGJL</t>
  </si>
  <si>
    <t>ABDEFGKL</t>
  </si>
  <si>
    <t>ABDEFHIJ</t>
  </si>
  <si>
    <t>ABDEFHIK</t>
  </si>
  <si>
    <t>ABDEFHIL</t>
  </si>
  <si>
    <t>ABDEFHJK</t>
  </si>
  <si>
    <t>ABDEFHJL</t>
  </si>
  <si>
    <t>ABDEFHKL</t>
  </si>
  <si>
    <t>ABDEFIJK</t>
  </si>
  <si>
    <t>ABDEFIJL</t>
  </si>
  <si>
    <t>ABDEFIKL</t>
  </si>
  <si>
    <t>ABDEFJKL</t>
  </si>
  <si>
    <t>ABDEGHIJ</t>
  </si>
  <si>
    <t>ABDEGHIK</t>
  </si>
  <si>
    <t>ABDEGHIL</t>
  </si>
  <si>
    <t>ABDEGHJK</t>
  </si>
  <si>
    <t>ABDEGHJL</t>
  </si>
  <si>
    <t>ABDEGHKL</t>
  </si>
  <si>
    <t>ABDEGIJK</t>
  </si>
  <si>
    <t>ABDEGIJL</t>
  </si>
  <si>
    <t>ABDEGIKL</t>
  </si>
  <si>
    <t>ABDEGJKL</t>
  </si>
  <si>
    <t>ABDEHIJK</t>
  </si>
  <si>
    <t>ABDEHIJL</t>
  </si>
  <si>
    <t>ABDEHIKL</t>
  </si>
  <si>
    <t>ABDEHJKL</t>
  </si>
  <si>
    <t>ABDEIJKL</t>
  </si>
  <si>
    <t>ABDFGHIJ</t>
  </si>
  <si>
    <t>ABDFGHIK</t>
  </si>
  <si>
    <t>ABDFGHIL</t>
  </si>
  <si>
    <t>Desempate: puntos; puntos en enfrentamientos directos; diferencia de goles en enfrentamientos directos; goles a favor en enfrentamientos directos; diferencia de goles general; goles a favor general; orden alfabético si persiste el empate. Los ocho mejores terceros avanzan automáticamente.</t>
  </si>
  <si>
    <t>ABDFGHJK</t>
  </si>
  <si>
    <t>ABDFGHJL</t>
  </si>
  <si>
    <t>ABDFGHKL</t>
  </si>
  <si>
    <t>ABDFGIJK</t>
  </si>
  <si>
    <t>ABDFGIJL</t>
  </si>
  <si>
    <t>ABDFGIKL</t>
  </si>
  <si>
    <t>ABDFGJKL</t>
  </si>
  <si>
    <t>ABDFHIJK</t>
  </si>
  <si>
    <t>ABDFHIJL</t>
  </si>
  <si>
    <t>ABDFHIKL</t>
  </si>
  <si>
    <t>ABDFHJKL</t>
  </si>
  <si>
    <t>ABDFIJKL</t>
  </si>
  <si>
    <t>ABDGHIJK</t>
  </si>
  <si>
    <t>ABDGHIJL</t>
  </si>
  <si>
    <t>ABDGHIKL</t>
  </si>
  <si>
    <t>ABDGHJKL</t>
  </si>
  <si>
    <t>ABDGIJKL</t>
  </si>
  <si>
    <t>ABDHIJKL</t>
  </si>
  <si>
    <t>ABEFGHIJ</t>
  </si>
  <si>
    <t>ABEFGHIK</t>
  </si>
  <si>
    <t>ABEFGHIL</t>
  </si>
  <si>
    <t>ABEFGHJK</t>
  </si>
  <si>
    <t>ABEFGHJL</t>
  </si>
  <si>
    <t>ABEFGHKL</t>
  </si>
  <si>
    <t>ABEFGIJK</t>
  </si>
  <si>
    <t>ABEFGIJL</t>
  </si>
  <si>
    <t>ABEFGIKL</t>
  </si>
  <si>
    <t>ABEFGJKL</t>
  </si>
  <si>
    <t>ABEFHIJK</t>
  </si>
  <si>
    <t>ABEFHIJL</t>
  </si>
  <si>
    <t>ABEFHIKL</t>
  </si>
  <si>
    <t>ABEFHJKL</t>
  </si>
  <si>
    <t>ABEFIJKL</t>
  </si>
  <si>
    <t>ABEGHIJK</t>
  </si>
  <si>
    <t>ABEGHIJL</t>
  </si>
  <si>
    <t>ABEGHIKL</t>
  </si>
  <si>
    <t>ABEGHJKL</t>
  </si>
  <si>
    <t>ABEGIJKL</t>
  </si>
  <si>
    <t>ABEHIJKL</t>
  </si>
  <si>
    <t>ABFGHIJK</t>
  </si>
  <si>
    <t>ABFGHIJL</t>
  </si>
  <si>
    <t>ABFGHIKL</t>
  </si>
  <si>
    <t>ABFGHJKL</t>
  </si>
  <si>
    <t>ABFGIJKL</t>
  </si>
  <si>
    <t>ABFHIJKL</t>
  </si>
  <si>
    <t>ABGHIJKL</t>
  </si>
  <si>
    <t>ACDEFGHI</t>
  </si>
  <si>
    <t>ACDEFGHJ</t>
  </si>
  <si>
    <t>ACDEFGHK</t>
  </si>
  <si>
    <t>ACDEFGHL</t>
  </si>
  <si>
    <t>ACDEFGIJ</t>
  </si>
  <si>
    <t>ACDEFGIK</t>
  </si>
  <si>
    <t>ACDEFGIL</t>
  </si>
  <si>
    <t>ACDEFGJK</t>
  </si>
  <si>
    <t>ACDEFGJL</t>
  </si>
  <si>
    <t>ACDEFGKL</t>
  </si>
  <si>
    <t>ACDEFHIJ</t>
  </si>
  <si>
    <t>ACDEFHIK</t>
  </si>
  <si>
    <t>ACDEFHIL</t>
  </si>
  <si>
    <t>ACDEFHJK</t>
  </si>
  <si>
    <t>ACDEFHJL</t>
  </si>
  <si>
    <t>ACDEFHKL</t>
  </si>
  <si>
    <t>ACDEFIJK</t>
  </si>
  <si>
    <t>ACDEFIJL</t>
  </si>
  <si>
    <t>ACDEFIKL</t>
  </si>
  <si>
    <t>ACDEFJKL</t>
  </si>
  <si>
    <t>ACDEGHIJ</t>
  </si>
  <si>
    <t>ACDEGHIK</t>
  </si>
  <si>
    <t>ACDEGHIL</t>
  </si>
  <si>
    <t>ACDEGHJK</t>
  </si>
  <si>
    <t>ACDEGHJL</t>
  </si>
  <si>
    <t>ACDEGHKL</t>
  </si>
  <si>
    <t>ACDEGIJK</t>
  </si>
  <si>
    <t>ACDEGIJL</t>
  </si>
  <si>
    <t>ACDEGIKL</t>
  </si>
  <si>
    <t>ACDEGJKL</t>
  </si>
  <si>
    <t>ACDEHIJK</t>
  </si>
  <si>
    <t>ACDEHIJL</t>
  </si>
  <si>
    <t>ACDEHIKL</t>
  </si>
  <si>
    <t>ACDEHJKL</t>
  </si>
  <si>
    <t>ACDEIJKL</t>
  </si>
  <si>
    <t>ACDFGHIJ</t>
  </si>
  <si>
    <t>ACDFGHIK</t>
  </si>
  <si>
    <t>ACDFGHIL</t>
  </si>
  <si>
    <t>ACDFGHJK</t>
  </si>
  <si>
    <t>ACDFGHJL</t>
  </si>
  <si>
    <t>ACDFGHKL</t>
  </si>
  <si>
    <t>ACDFGIJK</t>
  </si>
  <si>
    <t>ACDFGIJL</t>
  </si>
  <si>
    <t>ACDFGIKL</t>
  </si>
  <si>
    <t>ACDFGJKL</t>
  </si>
  <si>
    <t>ACDFHIJK</t>
  </si>
  <si>
    <t>ACDFHIJL</t>
  </si>
  <si>
    <t>ACDFHIKL</t>
  </si>
  <si>
    <t>ACDFHJKL</t>
  </si>
  <si>
    <t>ACDFIJKL</t>
  </si>
  <si>
    <t>ACDGHIJK</t>
  </si>
  <si>
    <t>ACDGHIJL</t>
  </si>
  <si>
    <t>ACDGHIKL</t>
  </si>
  <si>
    <t>ACDGHJKL</t>
  </si>
  <si>
    <t>ACDGIJKL</t>
  </si>
  <si>
    <t>ACDHIJKL</t>
  </si>
  <si>
    <t>ACEFGHIJ</t>
  </si>
  <si>
    <t>ACEFGHIK</t>
  </si>
  <si>
    <t>ACEFGHIL</t>
  </si>
  <si>
    <t>ACEFGHJK</t>
  </si>
  <si>
    <t>ACEFGHJL</t>
  </si>
  <si>
    <t>ACEFGHKL</t>
  </si>
  <si>
    <t>ACEFGIJK</t>
  </si>
  <si>
    <t>ACEFGIJL</t>
  </si>
  <si>
    <t>ACEFGIKL</t>
  </si>
  <si>
    <t>ACEFGJKL</t>
  </si>
  <si>
    <t>ACEFHIJK</t>
  </si>
  <si>
    <t>ACEFHIJL</t>
  </si>
  <si>
    <t>ACEFHIKL</t>
  </si>
  <si>
    <t>ACEFHJKL</t>
  </si>
  <si>
    <t>ACEFIJKL</t>
  </si>
  <si>
    <t>ACEGHIJK</t>
  </si>
  <si>
    <t>ACEGHIJL</t>
  </si>
  <si>
    <t>ACEGHIKL</t>
  </si>
  <si>
    <t>ACEGHJKL</t>
  </si>
  <si>
    <t>ACEGIJKL</t>
  </si>
  <si>
    <t>ACEHIJKL</t>
  </si>
  <si>
    <t>ACFGHIJK</t>
  </si>
  <si>
    <t>ACFGHIJL</t>
  </si>
  <si>
    <t>ACFGHIKL</t>
  </si>
  <si>
    <t>ACFGHJKL</t>
  </si>
  <si>
    <t>ACFGIJKL</t>
  </si>
  <si>
    <t>ACFHIJKL</t>
  </si>
  <si>
    <t>ACGHIJKL</t>
  </si>
  <si>
    <t>ADEFGHIJ</t>
  </si>
  <si>
    <t>ADEFGHIK</t>
  </si>
  <si>
    <t>ADEFGHIL</t>
  </si>
  <si>
    <t>ADEFGHJK</t>
  </si>
  <si>
    <t>ADEFGHJL</t>
  </si>
  <si>
    <t>ADEFGHKL</t>
  </si>
  <si>
    <t>ADEFGIJK</t>
  </si>
  <si>
    <t>ADEFGIJL</t>
  </si>
  <si>
    <t>ADEFGIKL</t>
  </si>
  <si>
    <t>ADEFGJKL</t>
  </si>
  <si>
    <t>ADEFHIJK</t>
  </si>
  <si>
    <t>ADEFHIJL</t>
  </si>
  <si>
    <t>ADEFHIKL</t>
  </si>
  <si>
    <t>ADEFHJKL</t>
  </si>
  <si>
    <t>ADEFIJKL</t>
  </si>
  <si>
    <t>ADEGHIJK</t>
  </si>
  <si>
    <t>ADEGHIJL</t>
  </si>
  <si>
    <t>ADEGHIKL</t>
  </si>
  <si>
    <t>ADEGHJKL</t>
  </si>
  <si>
    <t>ADEGIJKL</t>
  </si>
  <si>
    <t>ADEHIJKL</t>
  </si>
  <si>
    <t>ADFGHIJK</t>
  </si>
  <si>
    <t>ADFGHIJL</t>
  </si>
  <si>
    <t>ADFGHIKL</t>
  </si>
  <si>
    <t>ADFGHJKL</t>
  </si>
  <si>
    <t>ADFGIJKL</t>
  </si>
  <si>
    <t>ADFHIJKL</t>
  </si>
  <si>
    <t>ADGHIJKL</t>
  </si>
  <si>
    <t>AEFGHIJK</t>
  </si>
  <si>
    <t>AEFGHIJL</t>
  </si>
  <si>
    <t>AEFGHIKL</t>
  </si>
  <si>
    <t>AEFGHJKL</t>
  </si>
  <si>
    <t>AEFGIJKL</t>
  </si>
  <si>
    <t>AEFHIJKL</t>
  </si>
  <si>
    <t>AEGHIJKL</t>
  </si>
  <si>
    <t>AFGHIJKL</t>
  </si>
  <si>
    <t>BCDEFGHI</t>
  </si>
  <si>
    <t>BCDEFGHJ</t>
  </si>
  <si>
    <t>BCDEFGHK</t>
  </si>
  <si>
    <t>BCDEFGHL</t>
  </si>
  <si>
    <t>BCDEFGIJ</t>
  </si>
  <si>
    <t>BCDEFGIK</t>
  </si>
  <si>
    <t>BCDEFGIL</t>
  </si>
  <si>
    <t>BCDEFGJK</t>
  </si>
  <si>
    <t>BCDEFGJL</t>
  </si>
  <si>
    <t>BCDEFGKL</t>
  </si>
  <si>
    <t>BCDEFHIJ</t>
  </si>
  <si>
    <t>BCDEFHIK</t>
  </si>
  <si>
    <t>BCDEFHIL</t>
  </si>
  <si>
    <t>BCDEFHJK</t>
  </si>
  <si>
    <t>BCDEFHJL</t>
  </si>
  <si>
    <t>BCDEFHKL</t>
  </si>
  <si>
    <t>BCDEFIJK</t>
  </si>
  <si>
    <t>BCDEFIJL</t>
  </si>
  <si>
    <t>BCDEFIKL</t>
  </si>
  <si>
    <t>BCDEFJKL</t>
  </si>
  <si>
    <t>BCDEGHIJ</t>
  </si>
  <si>
    <t>BCDEGHIK</t>
  </si>
  <si>
    <t>BCDEGHIL</t>
  </si>
  <si>
    <t>BCDEGHJK</t>
  </si>
  <si>
    <t>BCDEGHJL</t>
  </si>
  <si>
    <t>BCDEGHKL</t>
  </si>
  <si>
    <t>BCDEGIJK</t>
  </si>
  <si>
    <t>BCDEGIJL</t>
  </si>
  <si>
    <t>BCDEGIKL</t>
  </si>
  <si>
    <t>BCDEGJKL</t>
  </si>
  <si>
    <t>BCDEHIJK</t>
  </si>
  <si>
    <t>BCDEHIJL</t>
  </si>
  <si>
    <t>BCDEHIKL</t>
  </si>
  <si>
    <t>BCDEHJKL</t>
  </si>
  <si>
    <t>BCDEIJKL</t>
  </si>
  <si>
    <t>BCDFGHIJ</t>
  </si>
  <si>
    <t>BCDFGHIK</t>
  </si>
  <si>
    <t>BCDFGHIL</t>
  </si>
  <si>
    <t>BCDFGHJK</t>
  </si>
  <si>
    <t>BCDFGHJL</t>
  </si>
  <si>
    <t>BCDFGHKL</t>
  </si>
  <si>
    <t>BCDFGIJK</t>
  </si>
  <si>
    <t>BCDFGIJL</t>
  </si>
  <si>
    <t>BCDFGIKL</t>
  </si>
  <si>
    <t>BCDFGJKL</t>
  </si>
  <si>
    <t>BCDFHIJK</t>
  </si>
  <si>
    <t>BCDFHIJL</t>
  </si>
  <si>
    <t>BCDFHIKL</t>
  </si>
  <si>
    <t>BCDFHJKL</t>
  </si>
  <si>
    <t>BCDFIJKL</t>
  </si>
  <si>
    <t>BCDGHIJK</t>
  </si>
  <si>
    <t>BCDGHIJL</t>
  </si>
  <si>
    <t>BCDGHIKL</t>
  </si>
  <si>
    <t>BCDGHJKL</t>
  </si>
  <si>
    <t>BCDGIJKL</t>
  </si>
  <si>
    <t>BCDHIJKL</t>
  </si>
  <si>
    <t>BCEFGHIJ</t>
  </si>
  <si>
    <t>BCEFGHIK</t>
  </si>
  <si>
    <t>BCEFGHIL</t>
  </si>
  <si>
    <t>BCEFGHJK</t>
  </si>
  <si>
    <t>BCEFGHJL</t>
  </si>
  <si>
    <t>BCEFGHKL</t>
  </si>
  <si>
    <t>BCEFGIJK</t>
  </si>
  <si>
    <t>BCEFGIJL</t>
  </si>
  <si>
    <t>BCEFGIKL</t>
  </si>
  <si>
    <t>BCEFGJKL</t>
  </si>
  <si>
    <t>BCEFHIJK</t>
  </si>
  <si>
    <t>BCEFHIJL</t>
  </si>
  <si>
    <t>BCEFHIKL</t>
  </si>
  <si>
    <t>BCEFHJKL</t>
  </si>
  <si>
    <t>BCEFIJKL</t>
  </si>
  <si>
    <t>BCEGHIJK</t>
  </si>
  <si>
    <t>BCEGHIJL</t>
  </si>
  <si>
    <t>BCEGHIKL</t>
  </si>
  <si>
    <t>BCEGHJKL</t>
  </si>
  <si>
    <t>BCEGIJKL</t>
  </si>
  <si>
    <t>BCEHIJKL</t>
  </si>
  <si>
    <t>BCFGHIJK</t>
  </si>
  <si>
    <t>BCFGHIJL</t>
  </si>
  <si>
    <t>BCFGHIKL</t>
  </si>
  <si>
    <t>BCFGHJKL</t>
  </si>
  <si>
    <t>BCFGIJKL</t>
  </si>
  <si>
    <t>BCFHIJKL</t>
  </si>
  <si>
    <t>BCGHIJKL</t>
  </si>
  <si>
    <t>BDEFGHIJ</t>
  </si>
  <si>
    <t>BDEFGHIK</t>
  </si>
  <si>
    <t>BDEFGHIL</t>
  </si>
  <si>
    <t>BDEFGHJK</t>
  </si>
  <si>
    <t>BDEFGHJL</t>
  </si>
  <si>
    <t>BDEFGHKL</t>
  </si>
  <si>
    <t>BDEFGIJK</t>
  </si>
  <si>
    <t>BDEFGIJL</t>
  </si>
  <si>
    <t>BDEFGIKL</t>
  </si>
  <si>
    <t>BDEFGJKL</t>
  </si>
  <si>
    <t>BDEFHIJK</t>
  </si>
  <si>
    <t>BDEFHIJL</t>
  </si>
  <si>
    <t>BDEFHIKL</t>
  </si>
  <si>
    <t>BDEFHJKL</t>
  </si>
  <si>
    <t>BDEFIJKL</t>
  </si>
  <si>
    <t>BDEGHIJK</t>
  </si>
  <si>
    <t>BDEGHIJL</t>
  </si>
  <si>
    <t>BDEGHIKL</t>
  </si>
  <si>
    <t>BDEGHJKL</t>
  </si>
  <si>
    <t>BDEGIJKL</t>
  </si>
  <si>
    <t>BDEHIJKL</t>
  </si>
  <si>
    <t>BDFGHIJK</t>
  </si>
  <si>
    <t>BDFGHIJL</t>
  </si>
  <si>
    <t>BDFGHIKL</t>
  </si>
  <si>
    <t>BDFGHJKL</t>
  </si>
  <si>
    <t>BDFGIJKL</t>
  </si>
  <si>
    <t>BDFHIJKL</t>
  </si>
  <si>
    <t>BDGHIJKL</t>
  </si>
  <si>
    <t>BEFGHIJK</t>
  </si>
  <si>
    <t>BEFGHIJL</t>
  </si>
  <si>
    <t>BEFGHIKL</t>
  </si>
  <si>
    <t>BEFGHJKL</t>
  </si>
  <si>
    <t>BEFGIJKL</t>
  </si>
  <si>
    <t>BEFHIJKL</t>
  </si>
  <si>
    <t>BEGHIJKL</t>
  </si>
  <si>
    <t>BFGHIJKL</t>
  </si>
  <si>
    <t>CDEFGHIJ</t>
  </si>
  <si>
    <t>CDEFGHIK</t>
  </si>
  <si>
    <t>CDEFGHIL</t>
  </si>
  <si>
    <t>CDEFGHJK</t>
  </si>
  <si>
    <t>CDEFGHJL</t>
  </si>
  <si>
    <t>CDEFGHKL</t>
  </si>
  <si>
    <t>CDEFGIJK</t>
  </si>
  <si>
    <t>CDEFGIJL</t>
  </si>
  <si>
    <t>CDEFGIKL</t>
  </si>
  <si>
    <t>CDEFGJKL</t>
  </si>
  <si>
    <t>CDEFHIJK</t>
  </si>
  <si>
    <t>CDEFHIJL</t>
  </si>
  <si>
    <t>CDEFHIKL</t>
  </si>
  <si>
    <t>CDEFHJKL</t>
  </si>
  <si>
    <t>CDEFIJKL</t>
  </si>
  <si>
    <t>CDEGHIJK</t>
  </si>
  <si>
    <t>CDEGHIJL</t>
  </si>
  <si>
    <t>CDEGHIKL</t>
  </si>
  <si>
    <t>CDEGHJKL</t>
  </si>
  <si>
    <t>CDEGIJKL</t>
  </si>
  <si>
    <t>CDEHIJKL</t>
  </si>
  <si>
    <t>CDFGHIJK</t>
  </si>
  <si>
    <t>CDFGHIJL</t>
  </si>
  <si>
    <t>CDFGHIKL</t>
  </si>
  <si>
    <t>CDFGHJKL</t>
  </si>
  <si>
    <t>CDFGIJKL</t>
  </si>
  <si>
    <t>CDFHIJKL</t>
  </si>
  <si>
    <t>CDGHIJKL</t>
  </si>
  <si>
    <t>CEFGHIJK</t>
  </si>
  <si>
    <t>CEFGHIJL</t>
  </si>
  <si>
    <t>CEFGHIKL</t>
  </si>
  <si>
    <t>CEFGHJKL</t>
  </si>
  <si>
    <t>CEFGIJKL</t>
  </si>
  <si>
    <t>CEFHIJKL</t>
  </si>
  <si>
    <t>CEGHIJKL</t>
  </si>
  <si>
    <t>CFGHIJKL</t>
  </si>
  <si>
    <t>DEFGHIJK</t>
  </si>
  <si>
    <t>DEFGHIJL</t>
  </si>
  <si>
    <t>DEFGHIKL</t>
  </si>
  <si>
    <t>DEFGHJKL</t>
  </si>
  <si>
    <t>DEFGIJKL</t>
  </si>
  <si>
    <t>DEFHIJKL</t>
  </si>
  <si>
    <t>DEGHIJKL</t>
  </si>
  <si>
    <t>DFGHIJKL</t>
  </si>
  <si>
    <t>EFGHIJKL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</si>
</sst>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\ hh:mm;@"/>
  </numFmts>
  <fonts count="6" x14ac:knownFonts="1">
    <font>
      <sz val="11"/>
      <color theme="1"/>
      <name val="Calibri"/>
    </font>
    <font>
      <b/>
      <sz val="18"/>
      <color rgb="FFFFFFFF"/>
      <name val="Calibri"/>
      <family val="2"/>
    </font>
    <font>
      <b/>
      <sz val="11"/>
      <color rgb="FFFFFFFF"/>
      <name val="Calibri"/>
      <family val="2"/>
    </font>
    <font>
      <sz val="9"/>
      <color rgb="FF666666"/>
      <name val="Calibri"/>
      <family val="2"/>
    </font>
    <font>
      <i/>
      <sz val="11"/>
      <color rgb="FF666666"/>
      <name val="Calibri"/>
      <family val="2"/>
    </font>
    <font>
      <sz val="11"/>
      <color theme="1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305496"/>
      </patternFill>
    </fill>
    <fill>
      <patternFill patternType="solid">
        <fgColor rgb="FFFFF2CC"/>
      </patternFill>
    </fill>
    <fill>
      <patternFill patternType="solid">
        <fgColor rgb="FFE2F0D9"/>
      </patternFill>
    </fill>
    <fill>
      <patternFill patternType="solid">
        <fgColor rgb="FF70AD47"/>
      </patternFill>
    </fill>
    <fill>
      <patternFill patternType="solid">
        <fgColor rgb="FF5B9BD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4" tint="0.59990234076967686"/>
        <bgColor indexed="65"/>
      </patternFill>
    </fill>
    <fill>
      <patternFill patternType="solid">
        <fgColor theme="9" tint="0.59990234076967686"/>
        <bgColor indexed="65"/>
      </patternFill>
    </fill>
    <fill>
      <patternFill patternType="solid">
        <fgColor theme="0"/>
      </patternFill>
    </fill>
    <fill>
      <patternFill patternType="solid">
        <fgColor theme="0"/>
      </patternFill>
    </fill>
    <fill>
      <patternFill patternType="solid">
        <fgColor theme="0" tint="-0.34998626667073579"/>
        <bgColor indexed="65"/>
      </patternFill>
    </fill>
    <fill>
      <patternFill patternType="solid">
        <fgColor theme="8" tint="0.79995117038483843"/>
        <bgColor indexed="65"/>
      </patternFill>
    </fill>
    <fill>
      <patternFill patternType="solid">
        <fgColor theme="2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12" borderId="3" xfId="0" applyNumberForma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11" borderId="0" xfId="0" applyFont="1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22" fontId="0" fillId="0" borderId="0" xfId="0" applyNumberFormat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13" borderId="0" xfId="0" applyFont="1" applyFill="1" applyAlignment="1">
      <alignment horizontal="center" vertical="center"/>
    </xf>
    <xf numFmtId="0" fontId="0" fillId="13" borderId="8" xfId="0" applyFill="1" applyBorder="1" applyAlignment="1">
      <alignment horizontal="center" vertical="center"/>
    </xf>
    <xf numFmtId="0" fontId="0" fillId="13" borderId="0" xfId="0" applyFill="1" applyAlignment="1">
      <alignment horizontal="center" vertical="center"/>
    </xf>
    <xf numFmtId="0" fontId="0" fillId="13" borderId="9" xfId="0" applyFill="1" applyBorder="1" applyAlignment="1">
      <alignment horizontal="center" vertical="center"/>
    </xf>
    <xf numFmtId="0" fontId="2" fillId="3" borderId="5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2" fillId="6" borderId="1" xfId="0" applyFont="1" applyFill="1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15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4" fillId="14" borderId="10" xfId="0" applyFont="1" applyFill="1" applyBorder="1" applyAlignment="1">
      <alignment horizontal="center" vertical="center" wrapText="1"/>
    </xf>
    <xf numFmtId="0" fontId="0" fillId="0" borderId="10" xfId="0" applyBorder="1"/>
  </cellXfs>
  <cellStyles count="1">
    <cellStyle name="Normal" xfId="0" builtinId="0"/>
  </cellStyles>
  <dxfs count="1">
    <dxf>
      <fill>
        <patternFill>
          <bgColor rgb="FFFFF2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D496"/>
  <sheetViews>
    <sheetView tabSelected="1" workbookViewId="0">
      <selection activeCell="N14" sqref="N14:N15"/>
    </sheetView>
  </sheetViews>
  <sheetFormatPr defaultRowHeight="15" x14ac:dyDescent="0.25"/>
  <cols>
    <col min="1" max="1" width="13.7109375" style="11" customWidth="1"/>
    <col min="2" max="2" width="12.7109375" style="11" customWidth="1"/>
    <col min="3" max="3" width="8.7109375" style="11" customWidth="1"/>
    <col min="4" max="4" width="22.7109375" style="11" customWidth="1"/>
    <col min="5" max="5" width="20.7109375" style="11" customWidth="1"/>
    <col min="6" max="7" width="9.7109375" style="11" customWidth="1"/>
    <col min="8" max="8" width="20.7109375" style="11" customWidth="1"/>
    <col min="9" max="9" width="9.7109375" style="11" customWidth="1"/>
    <col min="10" max="10" width="34.7109375" style="11" customWidth="1"/>
    <col min="11" max="11" width="10.140625" style="11" customWidth="1"/>
    <col min="12" max="12" width="9.85546875" style="11" customWidth="1"/>
    <col min="13" max="13" width="20.7109375" style="11" customWidth="1"/>
    <col min="14" max="14" width="13.5703125" style="11" customWidth="1"/>
    <col min="15" max="16" width="9.140625" style="11" hidden="1" customWidth="1"/>
    <col min="17" max="39" width="9.140625" style="12" hidden="1" customWidth="1"/>
    <col min="40" max="42" width="13" style="11" hidden="1" customWidth="1"/>
    <col min="43" max="43" width="9.140625" style="12" hidden="1" customWidth="1"/>
    <col min="44" max="49" width="13" style="11" hidden="1" customWidth="1"/>
    <col min="50" max="54" width="18" style="11" hidden="1" customWidth="1"/>
    <col min="55" max="56" width="9.140625" style="11" customWidth="1"/>
    <col min="57" max="57" width="19.7109375" style="11" customWidth="1"/>
    <col min="58" max="61" width="9.140625" style="11" customWidth="1"/>
    <col min="62" max="62" width="19.7109375" style="11" customWidth="1"/>
    <col min="63" max="66" width="9.140625" style="11" customWidth="1"/>
    <col min="67" max="67" width="19.7109375" style="11" customWidth="1"/>
    <col min="68" max="73" width="9.140625" style="11" customWidth="1"/>
    <col min="74" max="74" width="15.42578125" style="11" customWidth="1"/>
    <col min="75" max="75" width="9.140625" style="11" customWidth="1"/>
    <col min="76" max="16384" width="9.140625" style="11"/>
  </cols>
  <sheetData>
    <row r="1" spans="1:77" ht="23.25" customHeight="1" x14ac:dyDescent="0.25">
      <c r="A1" s="34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R1" s="12" t="s">
        <v>1</v>
      </c>
      <c r="S1" s="12" t="s">
        <v>2</v>
      </c>
      <c r="AH1" s="12" t="s">
        <v>3</v>
      </c>
      <c r="AI1" s="12" t="s">
        <v>4</v>
      </c>
      <c r="AJ1" s="12" t="s">
        <v>5</v>
      </c>
      <c r="AK1" s="12" t="s">
        <v>6</v>
      </c>
      <c r="AL1" s="12" t="s">
        <v>7</v>
      </c>
      <c r="AM1" s="12" t="s">
        <v>8</v>
      </c>
      <c r="AN1" s="12" t="s">
        <v>9</v>
      </c>
      <c r="AO1" s="11" t="s">
        <v>10</v>
      </c>
      <c r="AP1" s="11" t="s">
        <v>11</v>
      </c>
      <c r="AQ1" s="11" t="s">
        <v>12</v>
      </c>
      <c r="AR1" s="11" t="s">
        <v>13</v>
      </c>
      <c r="AS1" s="11" t="s">
        <v>14</v>
      </c>
      <c r="AT1" s="11" t="s">
        <v>15</v>
      </c>
      <c r="AU1" s="11" t="s">
        <v>16</v>
      </c>
      <c r="AV1" s="11" t="s">
        <v>17</v>
      </c>
      <c r="AW1" s="11" t="s">
        <v>18</v>
      </c>
      <c r="AX1" s="11" t="s">
        <v>19</v>
      </c>
      <c r="AY1" s="11" t="s">
        <v>20</v>
      </c>
      <c r="AZ1" s="11" t="s">
        <v>21</v>
      </c>
      <c r="BA1" s="11" t="s">
        <v>22</v>
      </c>
      <c r="BB1" s="11" t="s">
        <v>23</v>
      </c>
    </row>
    <row r="2" spans="1:77" x14ac:dyDescent="0.25">
      <c r="A2" s="35" t="s">
        <v>24</v>
      </c>
      <c r="B2" s="13" t="s">
        <v>25</v>
      </c>
      <c r="C2" s="33" t="s">
        <v>26</v>
      </c>
      <c r="D2" s="32"/>
      <c r="E2" s="32"/>
      <c r="F2" s="32"/>
      <c r="G2" s="32"/>
      <c r="H2" s="32"/>
      <c r="R2" s="12" t="s">
        <v>27</v>
      </c>
      <c r="S2" s="12">
        <v>6</v>
      </c>
      <c r="AH2" s="12" t="s">
        <v>28</v>
      </c>
      <c r="AI2" s="12" t="str">
        <f>B120</f>
        <v>República Checa</v>
      </c>
      <c r="AJ2" s="12">
        <f>E120</f>
        <v>0</v>
      </c>
      <c r="AK2" s="12">
        <f>D120</f>
        <v>0</v>
      </c>
      <c r="AL2" s="12">
        <f>INDEX($Z$4:$Z$7,MATCH(AI2,$U$4:$U$7,0))</f>
        <v>0</v>
      </c>
      <c r="AM2" s="12">
        <f t="shared" ref="AM2:AM13" si="0">1+SUMPRODUCT(--(($AJ$2:$AJ$13&gt;AJ2)+(($AJ$2:$AJ$13=AJ2)*($AK$2:$AK$13&gt;AK2))+(($AJ$2:$AJ$13=AJ2)*($AK$2:$AK$13=AK2)*($AL$2:$AL$13&gt;AL2))+(($AJ$2:$AJ$13=AJ2)*($AK$2:$AK$13=AK2)*($AL$2:$AL$13=AL2)*($AI$2:$AI$13&lt;AI2))))</f>
        <v>11</v>
      </c>
      <c r="AN2" s="12" t="str">
        <f>H83</f>
        <v/>
      </c>
      <c r="AO2" s="11" t="s">
        <v>29</v>
      </c>
      <c r="AP2" s="11" t="s">
        <v>30</v>
      </c>
      <c r="AQ2" s="11" t="s">
        <v>31</v>
      </c>
      <c r="AR2" s="11" t="s">
        <v>32</v>
      </c>
      <c r="AS2" s="11" t="s">
        <v>33</v>
      </c>
      <c r="AT2" s="11" t="s">
        <v>28</v>
      </c>
      <c r="AU2" s="11" t="s">
        <v>34</v>
      </c>
      <c r="AV2" s="11" t="s">
        <v>35</v>
      </c>
      <c r="AW2" s="11" t="s">
        <v>36</v>
      </c>
      <c r="AX2" s="11" t="str">
        <f>AX3&amp;AX4&amp;AX5&amp;AX6&amp;AX7&amp;AX8&amp;AX9&amp;AX10&amp;AX11&amp;AX12&amp;AX13&amp;AX14</f>
        <v>BCEGHIJL</v>
      </c>
      <c r="AY2" s="11">
        <v>74</v>
      </c>
      <c r="AZ2" s="11" t="s">
        <v>37</v>
      </c>
      <c r="BA2" s="11" t="str">
        <f>IFERROR(INDEX($AP$2:$AP$496,MATCH($AX$2,$AO$2:$AO$496,0)),"")</f>
        <v>B</v>
      </c>
      <c r="BB2" s="11" t="str">
        <f t="shared" ref="BB2:BB9" si="1">IF(BA2="","",IFERROR(INDEX($C$152:$C$163,MATCH(BA2,$B$152:$B$163,0)),""))</f>
        <v>Catar</v>
      </c>
    </row>
    <row r="3" spans="1:77" ht="15" customHeight="1" x14ac:dyDescent="0.25">
      <c r="A3" s="32"/>
      <c r="B3" s="36" t="s">
        <v>38</v>
      </c>
      <c r="C3" s="32"/>
      <c r="D3" s="32"/>
      <c r="R3" s="12" t="s">
        <v>25</v>
      </c>
      <c r="S3" s="12">
        <v>-2</v>
      </c>
      <c r="U3" s="12" t="s">
        <v>4</v>
      </c>
      <c r="V3" s="12" t="s">
        <v>39</v>
      </c>
      <c r="W3" s="12" t="s">
        <v>31</v>
      </c>
      <c r="X3" s="12" t="s">
        <v>36</v>
      </c>
      <c r="Y3" s="12" t="s">
        <v>40</v>
      </c>
      <c r="Z3" s="12" t="s">
        <v>7</v>
      </c>
      <c r="AA3" s="12" t="s">
        <v>41</v>
      </c>
      <c r="AB3" s="12" t="s">
        <v>6</v>
      </c>
      <c r="AC3" s="12" t="s">
        <v>5</v>
      </c>
      <c r="AD3" s="12" t="s">
        <v>42</v>
      </c>
      <c r="AE3" s="12" t="s">
        <v>43</v>
      </c>
      <c r="AF3" s="12" t="s">
        <v>44</v>
      </c>
      <c r="AG3" s="12" t="s">
        <v>8</v>
      </c>
      <c r="AH3" s="12" t="s">
        <v>34</v>
      </c>
      <c r="AI3" s="12" t="str">
        <f>G120</f>
        <v>Catar</v>
      </c>
      <c r="AJ3" s="12">
        <f>J120</f>
        <v>0</v>
      </c>
      <c r="AK3" s="12">
        <f>I120</f>
        <v>0</v>
      </c>
      <c r="AL3" s="12">
        <f>INDEX($Z$11:$Z$14,MATCH(AI3,$U$11:$U$14,0))</f>
        <v>0</v>
      </c>
      <c r="AM3" s="12">
        <f t="shared" si="0"/>
        <v>2</v>
      </c>
      <c r="AN3" s="12" t="str">
        <f>H86</f>
        <v/>
      </c>
      <c r="AO3" s="11" t="s">
        <v>45</v>
      </c>
      <c r="AP3" s="11" t="s">
        <v>30</v>
      </c>
      <c r="AQ3" s="11" t="s">
        <v>31</v>
      </c>
      <c r="AR3" s="11" t="s">
        <v>32</v>
      </c>
      <c r="AS3" s="11" t="s">
        <v>36</v>
      </c>
      <c r="AT3" s="11" t="s">
        <v>28</v>
      </c>
      <c r="AU3" s="11" t="s">
        <v>34</v>
      </c>
      <c r="AV3" s="11" t="s">
        <v>35</v>
      </c>
      <c r="AW3" s="11" t="s">
        <v>46</v>
      </c>
      <c r="AX3" s="11" t="str">
        <f>IF(COUNTIF($B$152:$B$159,"A")&gt;0,"A","")</f>
        <v/>
      </c>
      <c r="AY3" s="11">
        <v>77</v>
      </c>
      <c r="AZ3" s="11" t="s">
        <v>47</v>
      </c>
      <c r="BA3" s="11" t="str">
        <f>IFERROR(INDEX($AQ$2:$AQ$496,MATCH($AX$2,$AO$2:$AO$496,0)),"")</f>
        <v>G</v>
      </c>
      <c r="BB3" s="11" t="str">
        <f t="shared" si="1"/>
        <v>Irán</v>
      </c>
    </row>
    <row r="4" spans="1:77" x14ac:dyDescent="0.25">
      <c r="A4" s="32"/>
      <c r="B4" s="32"/>
      <c r="C4" s="32"/>
      <c r="D4" s="32"/>
      <c r="R4" s="12" t="s">
        <v>48</v>
      </c>
      <c r="S4" s="12">
        <v>0</v>
      </c>
      <c r="U4" s="12" t="s">
        <v>25</v>
      </c>
      <c r="V4" s="12">
        <f>SUMPRODUCT(($O$9:$O$80="A")*((($E$9:$E$80=U4)+($H$9:$H$80=U4))&gt;0)*ISNUMBER($F$9:$F$80)*ISNUMBER($G$9:$G$80))</f>
        <v>0</v>
      </c>
      <c r="W4" s="12">
        <f>SUMPRODUCT(($O$9:$O$80="A")*ISNUMBER($F$9:$F$80)*ISNUMBER($G$9:$G$80)*((($E$9:$E$80=U4)*($F$9:$F$80&gt;$G$9:$G$80))+(($H$9:$H$80=U4)*($G$9:$G$80&gt;$F$9:$F$80))))</f>
        <v>0</v>
      </c>
      <c r="X4" s="12">
        <f>SUMPRODUCT(($O$9:$O$80="A")*ISNUMBER($F$9:$F$80)*ISNUMBER($G$9:$G$80)*((($E$9:$E$80=U4)+($H$9:$H$80=U4))&gt;0)*($F$9:$F$80=$G$9:$G$80))</f>
        <v>0</v>
      </c>
      <c r="Y4" s="12">
        <f>V4-W4-X4</f>
        <v>0</v>
      </c>
      <c r="Z4" s="12">
        <f>SUMPRODUCT(($O$9:$O$80="A")*ISNUMBER($F$9:$F$80)*ISNUMBER($G$9:$G$80)*($E$9:$E$80=U4)*$F$9:$F$80)+SUMPRODUCT(($O$9:$O$80="A")*ISNUMBER($F$9:$F$80)*ISNUMBER($G$9:$G$80)*($H$9:$H$80=U4)*$G$9:$G$80)</f>
        <v>0</v>
      </c>
      <c r="AA4" s="12">
        <f>SUMPRODUCT(($O$9:$O$80="A")*ISNUMBER($F$9:$F$80)*ISNUMBER($G$9:$G$80)*($E$9:$E$80=U4)*$G$9:$G$80)+SUMPRODUCT(($O$9:$O$80="A")*ISNUMBER($F$9:$F$80)*ISNUMBER($G$9:$G$80)*($H$9:$H$80=U4)*$F$9:$F$80)</f>
        <v>0</v>
      </c>
      <c r="AB4" s="12">
        <f>Z4-AA4</f>
        <v>0</v>
      </c>
      <c r="AC4" s="12">
        <f>W4*3+X4</f>
        <v>0</v>
      </c>
      <c r="AD4" s="12">
        <f>IF(COUNTIF($AC$4:$AC$7,AC4)=1,0,SUMPRODUCT(($O$9:$O$80="A")*ISNUMBER($F$9:$F$80)*ISNUMBER($G$9:$G$80)*((($E$9:$E$80=U4)*(((($H$9:$H$80=$U$4)*($AC$4=AC4))+(($H$9:$H$80=$U$5)*($AC$5=AC4))+(($H$9:$H$80=$U$6)*($AC$6=AC4))+(($H$9:$H$80=$U$7)*($AC$7=AC4)) )&gt;0)*(($F$9:$F$80&gt;$G$9:$G$80)*3+($F$9:$F$80=$G$9:$G$80)))+(($H$9:$H$80=U4)*(((($E$9:$E$80=$U$4)*($AC$4=AC4))+(($E$9:$E$80=$U$5)*($AC$5=AC4))+(($E$9:$E$80=$U$6)*($AC$6=AC4))+(($E$9:$E$80=$U$7)*($AC$7=AC4)) )&gt;0)*(($G$9:$G$80&gt;$F$9:$F$80)*3+($F$9:$F$80=$G$9:$G$80))))))</f>
        <v>0</v>
      </c>
      <c r="AE4" s="12">
        <f>IF(COUNTIF($AC$4:$AC$7,AC4)=1,0,SUMPRODUCT(($O$9:$O$80="A")*ISNUMBER($F$9:$F$80)*ISNUMBER($G$9:$G$80)*((($E$9:$E$80=U4)*(((($H$9:$H$80=$U$4)*($AC$4=AC4))+(($H$9:$H$80=$U$5)*($AC$5=AC4))+(($H$9:$H$80=$U$6)*($AC$6=AC4))+(($H$9:$H$80=$U$7)*($AC$7=AC4)) )&gt;0)*($F$9:$F$80-$G$9:$G$80))+(($H$9:$H$80=U4)*(((($E$9:$E$80=$U$4)*($AC$4=AC4))+(($E$9:$E$80=$U$5)*($AC$5=AC4))+(($E$9:$E$80=$U$6)*($AC$6=AC4))+(($E$9:$E$80=$U$7)*($AC$7=AC4)) )&gt;0)*($G$9:$G$80-$F$9:$F$80)))))</f>
        <v>0</v>
      </c>
      <c r="AF4" s="12">
        <f>IF(COUNTIF($AC$4:$AC$7,AC4)=1,0,SUMPRODUCT(($O$9:$O$80="A")*ISNUMBER($F$9:$F$80)*ISNUMBER($G$9:$G$80)*((($E$9:$E$80=U4)*(((($H$9:$H$80=$U$4)*($AC$4=AC4))+(($H$9:$H$80=$U$5)*($AC$5=AC4))+(($H$9:$H$80=$U$6)*($AC$6=AC4))+(($H$9:$H$80=$U$7)*($AC$7=AC4)) )&gt;0)*$F$9:$F$80)+(($H$9:$H$80=U4)*(((($E$9:$E$80=$U$4)*($AC$4=AC4))+(($E$9:$E$80=$U$5)*($AC$5=AC4))+(($E$9:$E$80=$U$6)*($AC$6=AC4))+(($E$9:$E$80=$U$7)*($AC$7=AC4)) )&gt;0)*$G$9:$G$80))))</f>
        <v>0</v>
      </c>
      <c r="AG4" s="12">
        <f>1+SUMPRODUCT(--(($AC$4:$AC$7&gt;AC4)+(($AC$4:$AC$7=AC4)*($AD$4:$AD$7&gt;AD4))+(($AC$4:$AC$7=AC4)*($AD$4:$AD$7=AD4)*($AE$4:$AE$7&gt;AE4))+(($AC$4:$AC$7=AC4)*($AD$4:$AD$7=AD4)*($AE$4:$AE$7=AE4)*($AF$4:$AF$7&gt;AF4))+(($AC$4:$AC$7=AC4)*($AD$4:$AD$7=AD4)*($AE$4:$AE$7=AE4)*($AF$4:$AF$7=AF4)*($AB$4:$AB$7&gt;AB4))+(($AC$4:$AC$7=AC4)*($AD$4:$AD$7=AD4)*($AE$4:$AE$7=AE4)*($AF$4:$AF$7=AF4)*($AB$4:$AB$7=AB4)*($Z$4:$Z$7&gt;Z4))+(($AC$4:$AC$7=AC4)*($AD$4:$AD$7=AD4)*($AE$4:$AE$7=AE4)*($AF$4:$AF$7=AF4)*($AB$4:$AB$7=AB4)*($Z$4:$Z$7=Z4)*($U$4:$U$7&lt;U4))))</f>
        <v>2</v>
      </c>
      <c r="AH4" s="12" t="s">
        <v>32</v>
      </c>
      <c r="AI4" s="12" t="str">
        <f>L120</f>
        <v>Haití</v>
      </c>
      <c r="AJ4" s="12">
        <f>O120</f>
        <v>0</v>
      </c>
      <c r="AK4" s="12">
        <f>N120</f>
        <v>0</v>
      </c>
      <c r="AL4" s="12">
        <f>INDEX($Z$18:$Z$21,MATCH(AI4,$U$18:$U$21,0))</f>
        <v>0</v>
      </c>
      <c r="AM4" s="12">
        <f t="shared" si="0"/>
        <v>5</v>
      </c>
      <c r="AN4" s="12" t="str">
        <f>H87</f>
        <v/>
      </c>
      <c r="AO4" s="11" t="s">
        <v>49</v>
      </c>
      <c r="AP4" s="11" t="s">
        <v>30</v>
      </c>
      <c r="AQ4" s="11" t="s">
        <v>31</v>
      </c>
      <c r="AR4" s="11" t="s">
        <v>32</v>
      </c>
      <c r="AS4" s="11" t="s">
        <v>36</v>
      </c>
      <c r="AT4" s="11" t="s">
        <v>28</v>
      </c>
      <c r="AU4" s="11" t="s">
        <v>34</v>
      </c>
      <c r="AV4" s="11" t="s">
        <v>35</v>
      </c>
      <c r="AW4" s="11" t="s">
        <v>50</v>
      </c>
      <c r="AX4" s="11" t="str">
        <f>IF(COUNTIF($B$152:$B$159,"B")&gt;0,"B","")</f>
        <v>B</v>
      </c>
      <c r="AY4" s="11">
        <v>79</v>
      </c>
      <c r="AZ4" s="11" t="s">
        <v>51</v>
      </c>
      <c r="BA4" s="11" t="str">
        <f>IFERROR(INDEX($AR$2:$AR$496,MATCH($AX$2,$AO$2:$AO$496,0)),"")</f>
        <v>C</v>
      </c>
      <c r="BB4" s="11" t="str">
        <f t="shared" si="1"/>
        <v>Haití</v>
      </c>
    </row>
    <row r="5" spans="1:77" x14ac:dyDescent="0.25">
      <c r="A5" s="32"/>
      <c r="B5" s="32"/>
      <c r="C5" s="32"/>
      <c r="D5" s="32"/>
      <c r="R5" s="12" t="s">
        <v>52</v>
      </c>
      <c r="S5" s="12">
        <v>-1</v>
      </c>
      <c r="U5" s="12" t="s">
        <v>53</v>
      </c>
      <c r="V5" s="12">
        <f>SUMPRODUCT(($O$9:$O$80="A")*((($E$9:$E$80=U5)+($H$9:$H$80=U5))&gt;0)*ISNUMBER($F$9:$F$80)*ISNUMBER($G$9:$G$80))</f>
        <v>0</v>
      </c>
      <c r="W5" s="12">
        <f>SUMPRODUCT(($O$9:$O$80="A")*ISNUMBER($F$9:$F$80)*ISNUMBER($G$9:$G$80)*((($E$9:$E$80=U5)*($F$9:$F$80&gt;$G$9:$G$80))+(($H$9:$H$80=U5)*($G$9:$G$80&gt;$F$9:$F$80))))</f>
        <v>0</v>
      </c>
      <c r="X5" s="12">
        <f>SUMPRODUCT(($O$9:$O$80="A")*ISNUMBER($F$9:$F$80)*ISNUMBER($G$9:$G$80)*((($E$9:$E$80=U5)+($H$9:$H$80=U5))&gt;0)*($F$9:$F$80=$G$9:$G$80))</f>
        <v>0</v>
      </c>
      <c r="Y5" s="12">
        <f>V5-W5-X5</f>
        <v>0</v>
      </c>
      <c r="Z5" s="12">
        <f>SUMPRODUCT(($O$9:$O$80="A")*ISNUMBER($F$9:$F$80)*ISNUMBER($G$9:$G$80)*($E$9:$E$80=U5)*$F$9:$F$80)+SUMPRODUCT(($O$9:$O$80="A")*ISNUMBER($F$9:$F$80)*ISNUMBER($G$9:$G$80)*($H$9:$H$80=U5)*$G$9:$G$80)</f>
        <v>0</v>
      </c>
      <c r="AA5" s="12">
        <f>SUMPRODUCT(($O$9:$O$80="A")*ISNUMBER($F$9:$F$80)*ISNUMBER($G$9:$G$80)*($E$9:$E$80=U5)*$G$9:$G$80)+SUMPRODUCT(($O$9:$O$80="A")*ISNUMBER($F$9:$F$80)*ISNUMBER($G$9:$G$80)*($H$9:$H$80=U5)*$F$9:$F$80)</f>
        <v>0</v>
      </c>
      <c r="AB5" s="12">
        <f>Z5-AA5</f>
        <v>0</v>
      </c>
      <c r="AC5" s="12">
        <f>W5*3+X5</f>
        <v>0</v>
      </c>
      <c r="AD5" s="12">
        <f>IF(COUNTIF($AC$4:$AC$7,AC5)=1,0,SUMPRODUCT(($O$9:$O$80="A")*ISNUMBER($F$9:$F$80)*ISNUMBER($G$9:$G$80)*((($E$9:$E$80=U5)*(((($H$9:$H$80=$U$4)*($AC$4=AC5))+(($H$9:$H$80=$U$5)*($AC$5=AC5))+(($H$9:$H$80=$U$6)*($AC$6=AC5))+(($H$9:$H$80=$U$7)*($AC$7=AC5)) )&gt;0)*(($F$9:$F$80&gt;$G$9:$G$80)*3+($F$9:$F$80=$G$9:$G$80)))+(($H$9:$H$80=U5)*(((($E$9:$E$80=$U$4)*($AC$4=AC5))+(($E$9:$E$80=$U$5)*($AC$5=AC5))+(($E$9:$E$80=$U$6)*($AC$6=AC5))+(($E$9:$E$80=$U$7)*($AC$7=AC5)) )&gt;0)*(($G$9:$G$80&gt;$F$9:$F$80)*3+($F$9:$F$80=$G$9:$G$80))))))</f>
        <v>0</v>
      </c>
      <c r="AE5" s="12">
        <f>IF(COUNTIF($AC$4:$AC$7,AC5)=1,0,SUMPRODUCT(($O$9:$O$80="A")*ISNUMBER($F$9:$F$80)*ISNUMBER($G$9:$G$80)*((($E$9:$E$80=U5)*(((($H$9:$H$80=$U$4)*($AC$4=AC5))+(($H$9:$H$80=$U$5)*($AC$5=AC5))+(($H$9:$H$80=$U$6)*($AC$6=AC5))+(($H$9:$H$80=$U$7)*($AC$7=AC5)) )&gt;0)*($F$9:$F$80-$G$9:$G$80))+(($H$9:$H$80=U5)*(((($E$9:$E$80=$U$4)*($AC$4=AC5))+(($E$9:$E$80=$U$5)*($AC$5=AC5))+(($E$9:$E$80=$U$6)*($AC$6=AC5))+(($E$9:$E$80=$U$7)*($AC$7=AC5)) )&gt;0)*($G$9:$G$80-$F$9:$F$80)))))</f>
        <v>0</v>
      </c>
      <c r="AF5" s="12">
        <f>IF(COUNTIF($AC$4:$AC$7,AC5)=1,0,SUMPRODUCT(($O$9:$O$80="A")*ISNUMBER($F$9:$F$80)*ISNUMBER($G$9:$G$80)*((($E$9:$E$80=U5)*(((($H$9:$H$80=$U$4)*($AC$4=AC5))+(($H$9:$H$80=$U$5)*($AC$5=AC5))+(($H$9:$H$80=$U$6)*($AC$6=AC5))+(($H$9:$H$80=$U$7)*($AC$7=AC5)) )&gt;0)*$F$9:$F$80)+(($H$9:$H$80=U5)*(((($E$9:$E$80=$U$4)*($AC$4=AC5))+(($E$9:$E$80=$U$5)*($AC$5=AC5))+(($E$9:$E$80=$U$6)*($AC$6=AC5))+(($E$9:$E$80=$U$7)*($AC$7=AC5)) )&gt;0)*$G$9:$G$80))))</f>
        <v>0</v>
      </c>
      <c r="AG5" s="12">
        <f>1+SUMPRODUCT(--(($AC$4:$AC$7&gt;AC5)+(($AC$4:$AC$7=AC5)*($AD$4:$AD$7&gt;AD5))+(($AC$4:$AC$7=AC5)*($AD$4:$AD$7=AD5)*($AE$4:$AE$7&gt;AE5))+(($AC$4:$AC$7=AC5)*($AD$4:$AD$7=AD5)*($AE$4:$AE$7=AE5)*($AF$4:$AF$7&gt;AF5))+(($AC$4:$AC$7=AC5)*($AD$4:$AD$7=AD5)*($AE$4:$AE$7=AE5)*($AF$4:$AF$7=AF5)*($AB$4:$AB$7&gt;AB5))+(($AC$4:$AC$7=AC5)*($AD$4:$AD$7=AD5)*($AE$4:$AE$7=AE5)*($AF$4:$AF$7=AF5)*($AB$4:$AB$7=AB5)*($Z$4:$Z$7&gt;Z5))+(($AC$4:$AC$7=AC5)*($AD$4:$AD$7=AD5)*($AE$4:$AE$7=AE5)*($AF$4:$AF$7=AF5)*($AB$4:$AB$7=AB5)*($Z$4:$Z$7=Z5)*($U$4:$U$7&lt;U5))))</f>
        <v>4</v>
      </c>
      <c r="AH5" s="12" t="s">
        <v>30</v>
      </c>
      <c r="AI5" s="12" t="str">
        <f>B128</f>
        <v>Paraguay</v>
      </c>
      <c r="AJ5" s="12">
        <f>E128</f>
        <v>0</v>
      </c>
      <c r="AK5" s="12">
        <f>D128</f>
        <v>0</v>
      </c>
      <c r="AL5" s="12">
        <f>INDEX($Z$25:$Z$28,MATCH(AI5,$U$25:$U$28,0))</f>
        <v>0</v>
      </c>
      <c r="AM5" s="12">
        <f t="shared" si="0"/>
        <v>9</v>
      </c>
      <c r="AN5" s="12" t="str">
        <f>H88</f>
        <v/>
      </c>
      <c r="AO5" s="11" t="s">
        <v>54</v>
      </c>
      <c r="AP5" s="11" t="s">
        <v>30</v>
      </c>
      <c r="AQ5" s="11" t="s">
        <v>31</v>
      </c>
      <c r="AR5" s="11" t="s">
        <v>32</v>
      </c>
      <c r="AS5" s="11" t="s">
        <v>55</v>
      </c>
      <c r="AT5" s="11" t="s">
        <v>28</v>
      </c>
      <c r="AU5" s="11" t="s">
        <v>34</v>
      </c>
      <c r="AV5" s="11" t="s">
        <v>35</v>
      </c>
      <c r="AW5" s="11" t="s">
        <v>36</v>
      </c>
      <c r="AX5" s="11" t="str">
        <f>IF(COUNTIF($B$152:$B$159,"C")&gt;0,"C","")</f>
        <v>C</v>
      </c>
      <c r="AY5" s="11">
        <v>80</v>
      </c>
      <c r="AZ5" s="11" t="s">
        <v>56</v>
      </c>
      <c r="BA5" s="11" t="str">
        <f>IFERROR(INDEX($AS$2:$AS$496,MATCH($AX$2,$AO$2:$AO$496,0)),"")</f>
        <v>E</v>
      </c>
      <c r="BB5" s="11" t="str">
        <f t="shared" si="1"/>
        <v>Curazao</v>
      </c>
    </row>
    <row r="6" spans="1:77" x14ac:dyDescent="0.25">
      <c r="B6" s="32"/>
      <c r="C6" s="32"/>
      <c r="D6" s="32"/>
      <c r="R6" s="12" t="s">
        <v>57</v>
      </c>
      <c r="S6" s="12">
        <v>-1</v>
      </c>
      <c r="U6" s="12" t="s">
        <v>58</v>
      </c>
      <c r="V6" s="12">
        <f>SUMPRODUCT(($O$9:$O$80="A")*((($E$9:$E$80=U6)+($H$9:$H$80=U6))&gt;0)*ISNUMBER($F$9:$F$80)*ISNUMBER($G$9:$G$80))</f>
        <v>0</v>
      </c>
      <c r="W6" s="12">
        <f>SUMPRODUCT(($O$9:$O$80="A")*ISNUMBER($F$9:$F$80)*ISNUMBER($G$9:$G$80)*((($E$9:$E$80=U6)*($F$9:$F$80&gt;$G$9:$G$80))+(($H$9:$H$80=U6)*($G$9:$G$80&gt;$F$9:$F$80))))</f>
        <v>0</v>
      </c>
      <c r="X6" s="12">
        <f>SUMPRODUCT(($O$9:$O$80="A")*ISNUMBER($F$9:$F$80)*ISNUMBER($G$9:$G$80)*((($E$9:$E$80=U6)+($H$9:$H$80=U6))&gt;0)*($F$9:$F$80=$G$9:$G$80))</f>
        <v>0</v>
      </c>
      <c r="Y6" s="12">
        <f>V6-W6-X6</f>
        <v>0</v>
      </c>
      <c r="Z6" s="12">
        <f>SUMPRODUCT(($O$9:$O$80="A")*ISNUMBER($F$9:$F$80)*ISNUMBER($G$9:$G$80)*($E$9:$E$80=U6)*$F$9:$F$80)+SUMPRODUCT(($O$9:$O$80="A")*ISNUMBER($F$9:$F$80)*ISNUMBER($G$9:$G$80)*($H$9:$H$80=U6)*$G$9:$G$80)</f>
        <v>0</v>
      </c>
      <c r="AA6" s="12">
        <f>SUMPRODUCT(($O$9:$O$80="A")*ISNUMBER($F$9:$F$80)*ISNUMBER($G$9:$G$80)*($E$9:$E$80=U6)*$G$9:$G$80)+SUMPRODUCT(($O$9:$O$80="A")*ISNUMBER($F$9:$F$80)*ISNUMBER($G$9:$G$80)*($H$9:$H$80=U6)*$F$9:$F$80)</f>
        <v>0</v>
      </c>
      <c r="AB6" s="12">
        <f>Z6-AA6</f>
        <v>0</v>
      </c>
      <c r="AC6" s="12">
        <f>W6*3+X6</f>
        <v>0</v>
      </c>
      <c r="AD6" s="12">
        <f>IF(COUNTIF($AC$4:$AC$7,AC6)=1,0,SUMPRODUCT(($O$9:$O$80="A")*ISNUMBER($F$9:$F$80)*ISNUMBER($G$9:$G$80)*((($E$9:$E$80=U6)*(((($H$9:$H$80=$U$4)*($AC$4=AC6))+(($H$9:$H$80=$U$5)*($AC$5=AC6))+(($H$9:$H$80=$U$6)*($AC$6=AC6))+(($H$9:$H$80=$U$7)*($AC$7=AC6)) )&gt;0)*(($F$9:$F$80&gt;$G$9:$G$80)*3+($F$9:$F$80=$G$9:$G$80)))+(($H$9:$H$80=U6)*(((($E$9:$E$80=$U$4)*($AC$4=AC6))+(($E$9:$E$80=$U$5)*($AC$5=AC6))+(($E$9:$E$80=$U$6)*($AC$6=AC6))+(($E$9:$E$80=$U$7)*($AC$7=AC6)) )&gt;0)*(($G$9:$G$80&gt;$F$9:$F$80)*3+($F$9:$F$80=$G$9:$G$80))))))</f>
        <v>0</v>
      </c>
      <c r="AE6" s="12">
        <f>IF(COUNTIF($AC$4:$AC$7,AC6)=1,0,SUMPRODUCT(($O$9:$O$80="A")*ISNUMBER($F$9:$F$80)*ISNUMBER($G$9:$G$80)*((($E$9:$E$80=U6)*(((($H$9:$H$80=$U$4)*($AC$4=AC6))+(($H$9:$H$80=$U$5)*($AC$5=AC6))+(($H$9:$H$80=$U$6)*($AC$6=AC6))+(($H$9:$H$80=$U$7)*($AC$7=AC6)) )&gt;0)*($F$9:$F$80-$G$9:$G$80))+(($H$9:$H$80=U6)*(((($E$9:$E$80=$U$4)*($AC$4=AC6))+(($E$9:$E$80=$U$5)*($AC$5=AC6))+(($E$9:$E$80=$U$6)*($AC$6=AC6))+(($E$9:$E$80=$U$7)*($AC$7=AC6)) )&gt;0)*($G$9:$G$80-$F$9:$F$80)))))</f>
        <v>0</v>
      </c>
      <c r="AF6" s="12">
        <f>IF(COUNTIF($AC$4:$AC$7,AC6)=1,0,SUMPRODUCT(($O$9:$O$80="A")*ISNUMBER($F$9:$F$80)*ISNUMBER($G$9:$G$80)*((($E$9:$E$80=U6)*(((($H$9:$H$80=$U$4)*($AC$4=AC6))+(($H$9:$H$80=$U$5)*($AC$5=AC6))+(($H$9:$H$80=$U$6)*($AC$6=AC6))+(($H$9:$H$80=$U$7)*($AC$7=AC6)) )&gt;0)*$F$9:$F$80)+(($H$9:$H$80=U6)*(((($E$9:$E$80=$U$4)*($AC$4=AC6))+(($E$9:$E$80=$U$5)*($AC$5=AC6))+(($E$9:$E$80=$U$6)*($AC$6=AC6))+(($E$9:$E$80=$U$7)*($AC$7=AC6)) )&gt;0)*$G$9:$G$80))))</f>
        <v>0</v>
      </c>
      <c r="AG6" s="12">
        <f>1+SUMPRODUCT(--(($AC$4:$AC$7&gt;AC6)+(($AC$4:$AC$7=AC6)*($AD$4:$AD$7&gt;AD6))+(($AC$4:$AC$7=AC6)*($AD$4:$AD$7=AD6)*($AE$4:$AE$7&gt;AE6))+(($AC$4:$AC$7=AC6)*($AD$4:$AD$7=AD6)*($AE$4:$AE$7=AE6)*($AF$4:$AF$7&gt;AF6))+(($AC$4:$AC$7=AC6)*($AD$4:$AD$7=AD6)*($AE$4:$AE$7=AE6)*($AF$4:$AF$7=AF6)*($AB$4:$AB$7&gt;AB6))+(($AC$4:$AC$7=AC6)*($AD$4:$AD$7=AD6)*($AE$4:$AE$7=AE6)*($AF$4:$AF$7=AF6)*($AB$4:$AB$7=AB6)*($Z$4:$Z$7&gt;Z6))+(($AC$4:$AC$7=AC6)*($AD$4:$AD$7=AD6)*($AE$4:$AE$7=AE6)*($AF$4:$AF$7=AF6)*($AB$4:$AB$7=AB6)*($Z$4:$Z$7=Z6)*($U$4:$U$7&lt;U6))))</f>
        <v>1</v>
      </c>
      <c r="AH6" s="12" t="s">
        <v>36</v>
      </c>
      <c r="AI6" s="12" t="str">
        <f>G128</f>
        <v>Curazao</v>
      </c>
      <c r="AJ6" s="12">
        <f>J128</f>
        <v>0</v>
      </c>
      <c r="AK6" s="12">
        <f>I128</f>
        <v>0</v>
      </c>
      <c r="AL6" s="12">
        <f>INDEX($Z$32:$Z$35,MATCH(AI6,$U$32:$U$35,0))</f>
        <v>0</v>
      </c>
      <c r="AM6" s="12">
        <f t="shared" si="0"/>
        <v>3</v>
      </c>
      <c r="AN6" s="12" t="str">
        <f>H89</f>
        <v/>
      </c>
      <c r="AO6" s="11" t="s">
        <v>59</v>
      </c>
      <c r="AP6" s="11" t="s">
        <v>30</v>
      </c>
      <c r="AQ6" s="11" t="s">
        <v>31</v>
      </c>
      <c r="AR6" s="11" t="s">
        <v>32</v>
      </c>
      <c r="AS6" s="11" t="s">
        <v>36</v>
      </c>
      <c r="AT6" s="11" t="s">
        <v>28</v>
      </c>
      <c r="AU6" s="11" t="s">
        <v>34</v>
      </c>
      <c r="AV6" s="11" t="s">
        <v>35</v>
      </c>
      <c r="AW6" s="11" t="s">
        <v>60</v>
      </c>
      <c r="AX6" s="11" t="str">
        <f>IF(COUNTIF($B$152:$B$159,"D")&gt;0,"D","")</f>
        <v/>
      </c>
      <c r="AY6" s="11">
        <v>82</v>
      </c>
      <c r="AZ6" s="11" t="s">
        <v>61</v>
      </c>
      <c r="BA6" s="11" t="str">
        <f>IFERROR(INDEX($AT$2:$AT$496,MATCH($AX$2,$AO$2:$AO$496,0)),"")</f>
        <v>H</v>
      </c>
      <c r="BB6" s="11" t="str">
        <f t="shared" si="1"/>
        <v>España</v>
      </c>
    </row>
    <row r="7" spans="1:77" x14ac:dyDescent="0.25">
      <c r="B7" s="37"/>
      <c r="C7" s="37"/>
      <c r="D7" s="37"/>
      <c r="R7" s="12" t="s">
        <v>62</v>
      </c>
      <c r="S7" s="12">
        <v>1</v>
      </c>
      <c r="U7" s="12" t="s">
        <v>63</v>
      </c>
      <c r="V7" s="12">
        <f>SUMPRODUCT(($O$9:$O$80="A")*((($E$9:$E$80=U7)+($H$9:$H$80=U7))&gt;0)*ISNUMBER($F$9:$F$80)*ISNUMBER($G$9:$G$80))</f>
        <v>0</v>
      </c>
      <c r="W7" s="12">
        <f>SUMPRODUCT(($O$9:$O$80="A")*ISNUMBER($F$9:$F$80)*ISNUMBER($G$9:$G$80)*((($E$9:$E$80=U7)*($F$9:$F$80&gt;$G$9:$G$80))+(($H$9:$H$80=U7)*($G$9:$G$80&gt;$F$9:$F$80))))</f>
        <v>0</v>
      </c>
      <c r="X7" s="12">
        <f>SUMPRODUCT(($O$9:$O$80="A")*ISNUMBER($F$9:$F$80)*ISNUMBER($G$9:$G$80)*((($E$9:$E$80=U7)+($H$9:$H$80=U7))&gt;0)*($F$9:$F$80=$G$9:$G$80))</f>
        <v>0</v>
      </c>
      <c r="Y7" s="12">
        <f>V7-W7-X7</f>
        <v>0</v>
      </c>
      <c r="Z7" s="12">
        <f>SUMPRODUCT(($O$9:$O$80="A")*ISNUMBER($F$9:$F$80)*ISNUMBER($G$9:$G$80)*($E$9:$E$80=U7)*$F$9:$F$80)+SUMPRODUCT(($O$9:$O$80="A")*ISNUMBER($F$9:$F$80)*ISNUMBER($G$9:$G$80)*($H$9:$H$80=U7)*$G$9:$G$80)</f>
        <v>0</v>
      </c>
      <c r="AA7" s="12">
        <f>SUMPRODUCT(($O$9:$O$80="A")*ISNUMBER($F$9:$F$80)*ISNUMBER($G$9:$G$80)*($E$9:$E$80=U7)*$G$9:$G$80)+SUMPRODUCT(($O$9:$O$80="A")*ISNUMBER($F$9:$F$80)*ISNUMBER($G$9:$G$80)*($H$9:$H$80=U7)*$F$9:$F$80)</f>
        <v>0</v>
      </c>
      <c r="AB7" s="12">
        <f>Z7-AA7</f>
        <v>0</v>
      </c>
      <c r="AC7" s="12">
        <f>W7*3+X7</f>
        <v>0</v>
      </c>
      <c r="AD7" s="12">
        <f>IF(COUNTIF($AC$4:$AC$7,AC7)=1,0,SUMPRODUCT(($O$9:$O$80="A")*ISNUMBER($F$9:$F$80)*ISNUMBER($G$9:$G$80)*((($E$9:$E$80=U7)*(((($H$9:$H$80=$U$4)*($AC$4=AC7))+(($H$9:$H$80=$U$5)*($AC$5=AC7))+(($H$9:$H$80=$U$6)*($AC$6=AC7))+(($H$9:$H$80=$U$7)*($AC$7=AC7)) )&gt;0)*(($F$9:$F$80&gt;$G$9:$G$80)*3+($F$9:$F$80=$G$9:$G$80)))+(($H$9:$H$80=U7)*(((($E$9:$E$80=$U$4)*($AC$4=AC7))+(($E$9:$E$80=$U$5)*($AC$5=AC7))+(($E$9:$E$80=$U$6)*($AC$6=AC7))+(($E$9:$E$80=$U$7)*($AC$7=AC7)) )&gt;0)*(($G$9:$G$80&gt;$F$9:$F$80)*3+($F$9:$F$80=$G$9:$G$80))))))</f>
        <v>0</v>
      </c>
      <c r="AE7" s="12">
        <f>IF(COUNTIF($AC$4:$AC$7,AC7)=1,0,SUMPRODUCT(($O$9:$O$80="A")*ISNUMBER($F$9:$F$80)*ISNUMBER($G$9:$G$80)*((($E$9:$E$80=U7)*(((($H$9:$H$80=$U$4)*($AC$4=AC7))+(($H$9:$H$80=$U$5)*($AC$5=AC7))+(($H$9:$H$80=$U$6)*($AC$6=AC7))+(($H$9:$H$80=$U$7)*($AC$7=AC7)) )&gt;0)*($F$9:$F$80-$G$9:$G$80))+(($H$9:$H$80=U7)*(((($E$9:$E$80=$U$4)*($AC$4=AC7))+(($E$9:$E$80=$U$5)*($AC$5=AC7))+(($E$9:$E$80=$U$6)*($AC$6=AC7))+(($E$9:$E$80=$U$7)*($AC$7=AC7)) )&gt;0)*($G$9:$G$80-$F$9:$F$80)))))</f>
        <v>0</v>
      </c>
      <c r="AF7" s="12">
        <f>IF(COUNTIF($AC$4:$AC$7,AC7)=1,0,SUMPRODUCT(($O$9:$O$80="A")*ISNUMBER($F$9:$F$80)*ISNUMBER($G$9:$G$80)*((($E$9:$E$80=U7)*(((($H$9:$H$80=$U$4)*($AC$4=AC7))+(($H$9:$H$80=$U$5)*($AC$5=AC7))+(($H$9:$H$80=$U$6)*($AC$6=AC7))+(($H$9:$H$80=$U$7)*($AC$7=AC7)) )&gt;0)*$F$9:$F$80)+(($H$9:$H$80=U7)*(((($E$9:$E$80=$U$4)*($AC$4=AC7))+(($E$9:$E$80=$U$5)*($AC$5=AC7))+(($E$9:$E$80=$U$6)*($AC$6=AC7))+(($E$9:$E$80=$U$7)*($AC$7=AC7)) )&gt;0)*$G$9:$G$80))))</f>
        <v>0</v>
      </c>
      <c r="AG7" s="12">
        <f>1+SUMPRODUCT(--(($AC$4:$AC$7&gt;AC7)+(($AC$4:$AC$7=AC7)*($AD$4:$AD$7&gt;AD7))+(($AC$4:$AC$7=AC7)*($AD$4:$AD$7=AD7)*($AE$4:$AE$7&gt;AE7))+(($AC$4:$AC$7=AC7)*($AD$4:$AD$7=AD7)*($AE$4:$AE$7=AE7)*($AF$4:$AF$7&gt;AF7))+(($AC$4:$AC$7=AC7)*($AD$4:$AD$7=AD7)*($AE$4:$AE$7=AE7)*($AF$4:$AF$7=AF7)*($AB$4:$AB$7&gt;AB7))+(($AC$4:$AC$7=AC7)*($AD$4:$AD$7=AD7)*($AE$4:$AE$7=AE7)*($AF$4:$AF$7=AF7)*($AB$4:$AB$7=AB7)*($Z$4:$Z$7&gt;Z7))+(($AC$4:$AC$7=AC7)*($AD$4:$AD$7=AD7)*($AE$4:$AE$7=AE7)*($AF$4:$AF$7=AF7)*($AB$4:$AB$7=AB7)*($Z$4:$Z$7=Z7)*($U$4:$U$7&lt;U7))))</f>
        <v>3</v>
      </c>
      <c r="AH7" s="12" t="s">
        <v>35</v>
      </c>
      <c r="AI7" s="12" t="str">
        <f>L128</f>
        <v>Suecia</v>
      </c>
      <c r="AJ7" s="12">
        <f>O128</f>
        <v>0</v>
      </c>
      <c r="AK7" s="12">
        <f>N128</f>
        <v>0</v>
      </c>
      <c r="AL7" s="12">
        <f>INDEX($Z$39:$Z$42,MATCH(AI7,$U$39:$U$42,0))</f>
        <v>0</v>
      </c>
      <c r="AM7" s="12">
        <f t="shared" si="0"/>
        <v>12</v>
      </c>
      <c r="AN7" s="12" t="str">
        <f>H90</f>
        <v/>
      </c>
      <c r="AO7" s="11" t="s">
        <v>64</v>
      </c>
      <c r="AP7" s="11" t="s">
        <v>30</v>
      </c>
      <c r="AQ7" s="11" t="s">
        <v>32</v>
      </c>
      <c r="AR7" s="11" t="s">
        <v>36</v>
      </c>
      <c r="AS7" s="11" t="s">
        <v>33</v>
      </c>
      <c r="AT7" s="11" t="s">
        <v>28</v>
      </c>
      <c r="AU7" s="11" t="s">
        <v>34</v>
      </c>
      <c r="AV7" s="11" t="s">
        <v>35</v>
      </c>
      <c r="AW7" s="11" t="s">
        <v>46</v>
      </c>
      <c r="AX7" s="11" t="str">
        <f>IF(COUNTIF($B$152:$B$159,"E")&gt;0,"E","")</f>
        <v>E</v>
      </c>
      <c r="AY7" s="11">
        <v>81</v>
      </c>
      <c r="AZ7" s="11" t="s">
        <v>65</v>
      </c>
      <c r="BA7" s="11" t="str">
        <f>IFERROR(INDEX($AU$2:$AU$496,MATCH($AX$2,$AO$2:$AO$496,0)),"")</f>
        <v>I</v>
      </c>
      <c r="BB7" s="11" t="str">
        <f t="shared" si="1"/>
        <v>Noruega</v>
      </c>
    </row>
    <row r="8" spans="1:77" x14ac:dyDescent="0.25">
      <c r="A8" s="1" t="s">
        <v>66</v>
      </c>
      <c r="B8" s="1" t="s">
        <v>67</v>
      </c>
      <c r="C8" s="1" t="s">
        <v>68</v>
      </c>
      <c r="D8" s="1" t="s">
        <v>69</v>
      </c>
      <c r="E8" s="1" t="s">
        <v>70</v>
      </c>
      <c r="F8" s="1" t="s">
        <v>71</v>
      </c>
      <c r="G8" s="1" t="s">
        <v>72</v>
      </c>
      <c r="H8" s="1" t="s">
        <v>73</v>
      </c>
      <c r="I8" s="1" t="s">
        <v>20</v>
      </c>
      <c r="J8" s="1" t="s">
        <v>74</v>
      </c>
      <c r="K8" s="22"/>
      <c r="L8" s="22"/>
      <c r="M8" s="22"/>
      <c r="N8" s="1" t="s">
        <v>75</v>
      </c>
      <c r="O8" s="1" t="s">
        <v>3</v>
      </c>
      <c r="R8" s="12" t="s">
        <v>76</v>
      </c>
      <c r="S8" s="12">
        <v>-1</v>
      </c>
      <c r="AH8" s="12" t="s">
        <v>31</v>
      </c>
      <c r="AI8" s="12" t="str">
        <f>B136</f>
        <v>Irán</v>
      </c>
      <c r="AJ8" s="12">
        <f>E136</f>
        <v>0</v>
      </c>
      <c r="AK8" s="12">
        <f>D136</f>
        <v>0</v>
      </c>
      <c r="AL8" s="12">
        <f>INDEX($Z$46:$Z$49,MATCH(AI8,$U$46:$U$49,0))</f>
        <v>0</v>
      </c>
      <c r="AM8" s="12">
        <f t="shared" si="0"/>
        <v>7</v>
      </c>
      <c r="AN8" s="12" t="str">
        <f>H93</f>
        <v/>
      </c>
      <c r="AO8" s="11" t="s">
        <v>77</v>
      </c>
      <c r="AP8" s="11" t="s">
        <v>30</v>
      </c>
      <c r="AQ8" s="11" t="s">
        <v>32</v>
      </c>
      <c r="AR8" s="11" t="s">
        <v>36</v>
      </c>
      <c r="AS8" s="11" t="s">
        <v>33</v>
      </c>
      <c r="AT8" s="11" t="s">
        <v>28</v>
      </c>
      <c r="AU8" s="11" t="s">
        <v>34</v>
      </c>
      <c r="AV8" s="11" t="s">
        <v>35</v>
      </c>
      <c r="AW8" s="11" t="s">
        <v>50</v>
      </c>
      <c r="AX8" s="11" t="str">
        <f>IF(COUNTIF($B$152:$B$159,"F")&gt;0,"F","")</f>
        <v/>
      </c>
      <c r="AY8" s="11">
        <v>85</v>
      </c>
      <c r="AZ8" s="11" t="s">
        <v>78</v>
      </c>
      <c r="BA8" s="11" t="str">
        <f>IFERROR(INDEX($AV$2:$AV$496,MATCH($AX$2,$AO$2:$AO$496,0)),"")</f>
        <v>J</v>
      </c>
      <c r="BB8" s="11" t="str">
        <f t="shared" si="1"/>
        <v>Austria</v>
      </c>
      <c r="BD8" s="28" t="s">
        <v>79</v>
      </c>
      <c r="BE8" s="29"/>
      <c r="BF8" s="29"/>
      <c r="BG8" s="29"/>
      <c r="BH8" s="30"/>
      <c r="BI8" s="28" t="s">
        <v>80</v>
      </c>
      <c r="BJ8" s="29"/>
      <c r="BK8" s="29"/>
      <c r="BL8" s="29"/>
      <c r="BM8" s="30"/>
      <c r="BN8" s="28" t="s">
        <v>81</v>
      </c>
      <c r="BO8" s="29"/>
      <c r="BP8" s="29"/>
      <c r="BQ8" s="29"/>
      <c r="BR8" s="30"/>
      <c r="BT8" s="28" t="s">
        <v>82</v>
      </c>
      <c r="BU8" s="29"/>
      <c r="BV8" s="29"/>
      <c r="BW8" s="29"/>
      <c r="BX8" s="29"/>
      <c r="BY8" s="30"/>
    </row>
    <row r="9" spans="1:77" x14ac:dyDescent="0.25">
      <c r="A9" s="2" t="str">
        <f t="shared" ref="A9:A40" si="2">TEXT(N9,"[$-es-ES]dddd")</f>
        <v>jueves</v>
      </c>
      <c r="B9" s="14">
        <f t="shared" ref="B9:B40" si="3">N9</f>
        <v>46184.541666666664</v>
      </c>
      <c r="C9" s="15">
        <f t="shared" ref="C9:C40" si="4">N9</f>
        <v>46184.541666666664</v>
      </c>
      <c r="D9" s="2" t="s">
        <v>79</v>
      </c>
      <c r="E9" s="2" t="s">
        <v>25</v>
      </c>
      <c r="F9" s="13"/>
      <c r="G9" s="13"/>
      <c r="H9" s="2" t="s">
        <v>53</v>
      </c>
      <c r="I9" s="2">
        <v>1</v>
      </c>
      <c r="J9" s="7" t="s">
        <v>83</v>
      </c>
      <c r="K9" s="23"/>
      <c r="L9" s="24"/>
      <c r="M9" s="25"/>
      <c r="N9" s="8">
        <f t="shared" ref="N9:N40" si="5">P9+VLOOKUP($B$2,$R$2:$S$8,2,FALSE)/24</f>
        <v>46184.541666666664</v>
      </c>
      <c r="O9" s="9" t="s">
        <v>28</v>
      </c>
      <c r="P9" s="16">
        <v>46184.625</v>
      </c>
      <c r="AH9" s="12" t="s">
        <v>33</v>
      </c>
      <c r="AI9" s="12" t="str">
        <f>G136</f>
        <v>España</v>
      </c>
      <c r="AJ9" s="12">
        <f>J136</f>
        <v>0</v>
      </c>
      <c r="AK9" s="12">
        <f>I136</f>
        <v>0</v>
      </c>
      <c r="AL9" s="12">
        <f>INDEX($Z$53:$Z$56,MATCH(AI9,$U$53:$U$56,0))</f>
        <v>0</v>
      </c>
      <c r="AM9" s="12">
        <f t="shared" si="0"/>
        <v>4</v>
      </c>
      <c r="AN9" s="12" t="str">
        <f>H96</f>
        <v/>
      </c>
      <c r="AO9" s="11" t="s">
        <v>84</v>
      </c>
      <c r="AP9" s="11" t="s">
        <v>30</v>
      </c>
      <c r="AQ9" s="11" t="s">
        <v>32</v>
      </c>
      <c r="AR9" s="11" t="s">
        <v>33</v>
      </c>
      <c r="AS9" s="11" t="s">
        <v>55</v>
      </c>
      <c r="AT9" s="11" t="s">
        <v>28</v>
      </c>
      <c r="AU9" s="11" t="s">
        <v>34</v>
      </c>
      <c r="AV9" s="11" t="s">
        <v>35</v>
      </c>
      <c r="AW9" s="11" t="s">
        <v>36</v>
      </c>
      <c r="AX9" s="11" t="str">
        <f>IF(COUNTIF($B$152:$B$159,"G")&gt;0,"G","")</f>
        <v>G</v>
      </c>
      <c r="AY9" s="11">
        <v>87</v>
      </c>
      <c r="AZ9" s="11" t="s">
        <v>85</v>
      </c>
      <c r="BA9" s="11" t="str">
        <f>IFERROR(INDEX($AW$2:$AW$496,MATCH($AX$2,$AO$2:$AO$496,0)),"")</f>
        <v>L</v>
      </c>
      <c r="BB9" s="11" t="str">
        <f t="shared" si="1"/>
        <v>Inglaterra</v>
      </c>
      <c r="BD9" s="21" t="s">
        <v>86</v>
      </c>
      <c r="BE9" s="21" t="s">
        <v>4</v>
      </c>
      <c r="BF9" s="21" t="s">
        <v>39</v>
      </c>
      <c r="BG9" s="21" t="s">
        <v>6</v>
      </c>
      <c r="BH9" s="21" t="s">
        <v>5</v>
      </c>
      <c r="BI9" s="21" t="s">
        <v>86</v>
      </c>
      <c r="BJ9" s="21" t="s">
        <v>4</v>
      </c>
      <c r="BK9" s="21" t="s">
        <v>39</v>
      </c>
      <c r="BL9" s="21" t="s">
        <v>6</v>
      </c>
      <c r="BM9" s="21" t="s">
        <v>5</v>
      </c>
      <c r="BN9" s="21" t="s">
        <v>86</v>
      </c>
      <c r="BO9" s="21" t="s">
        <v>4</v>
      </c>
      <c r="BP9" s="21" t="s">
        <v>39</v>
      </c>
      <c r="BQ9" s="21" t="s">
        <v>6</v>
      </c>
      <c r="BR9" s="21" t="s">
        <v>5</v>
      </c>
      <c r="BT9" s="21" t="s">
        <v>87</v>
      </c>
      <c r="BU9" s="21" t="s">
        <v>3</v>
      </c>
      <c r="BV9" s="21" t="s">
        <v>4</v>
      </c>
      <c r="BW9" s="21" t="s">
        <v>5</v>
      </c>
      <c r="BX9" s="21" t="s">
        <v>6</v>
      </c>
      <c r="BY9" s="21" t="s">
        <v>7</v>
      </c>
    </row>
    <row r="10" spans="1:77" x14ac:dyDescent="0.25">
      <c r="A10" s="2" t="str">
        <f t="shared" si="2"/>
        <v>jueves</v>
      </c>
      <c r="B10" s="14">
        <f t="shared" si="3"/>
        <v>46184.833333333321</v>
      </c>
      <c r="C10" s="15">
        <f t="shared" si="4"/>
        <v>46184.833333333321</v>
      </c>
      <c r="D10" s="2" t="s">
        <v>79</v>
      </c>
      <c r="E10" s="2" t="s">
        <v>58</v>
      </c>
      <c r="F10" s="13"/>
      <c r="G10" s="13"/>
      <c r="H10" s="2" t="s">
        <v>63</v>
      </c>
      <c r="I10" s="2">
        <v>2</v>
      </c>
      <c r="J10" s="7" t="s">
        <v>88</v>
      </c>
      <c r="K10" s="23"/>
      <c r="L10" s="24"/>
      <c r="M10" s="25"/>
      <c r="N10" s="8">
        <f t="shared" si="5"/>
        <v>46184.833333333321</v>
      </c>
      <c r="O10" s="9" t="s">
        <v>28</v>
      </c>
      <c r="P10" s="16">
        <v>46184.916666666657</v>
      </c>
      <c r="U10" s="12" t="s">
        <v>4</v>
      </c>
      <c r="V10" s="12" t="s">
        <v>39</v>
      </c>
      <c r="W10" s="12" t="s">
        <v>31</v>
      </c>
      <c r="X10" s="12" t="s">
        <v>36</v>
      </c>
      <c r="Y10" s="12" t="s">
        <v>40</v>
      </c>
      <c r="Z10" s="12" t="s">
        <v>7</v>
      </c>
      <c r="AA10" s="12" t="s">
        <v>41</v>
      </c>
      <c r="AB10" s="12" t="s">
        <v>6</v>
      </c>
      <c r="AC10" s="12" t="s">
        <v>5</v>
      </c>
      <c r="AD10" s="12" t="s">
        <v>42</v>
      </c>
      <c r="AE10" s="12" t="s">
        <v>43</v>
      </c>
      <c r="AF10" s="12" t="s">
        <v>44</v>
      </c>
      <c r="AG10" s="12" t="s">
        <v>8</v>
      </c>
      <c r="AH10" s="12" t="s">
        <v>46</v>
      </c>
      <c r="AI10" s="12" t="str">
        <f>L136</f>
        <v>Noruega</v>
      </c>
      <c r="AJ10" s="12">
        <f>O136</f>
        <v>0</v>
      </c>
      <c r="AK10" s="12">
        <f>N136</f>
        <v>0</v>
      </c>
      <c r="AL10" s="12">
        <f>INDEX($Z$60:$Z$63,MATCH(AI10,$U$60:$U$63,0))</f>
        <v>0</v>
      </c>
      <c r="AM10" s="12">
        <f t="shared" si="0"/>
        <v>8</v>
      </c>
      <c r="AO10" s="11" t="s">
        <v>89</v>
      </c>
      <c r="AP10" s="11" t="s">
        <v>30</v>
      </c>
      <c r="AQ10" s="11" t="s">
        <v>32</v>
      </c>
      <c r="AR10" s="11" t="s">
        <v>36</v>
      </c>
      <c r="AS10" s="11" t="s">
        <v>33</v>
      </c>
      <c r="AT10" s="11" t="s">
        <v>28</v>
      </c>
      <c r="AU10" s="11" t="s">
        <v>34</v>
      </c>
      <c r="AV10" s="11" t="s">
        <v>35</v>
      </c>
      <c r="AW10" s="11" t="s">
        <v>60</v>
      </c>
      <c r="AX10" s="11" t="str">
        <f>IF(COUNTIF($B$152:$B$159,"H")&gt;0,"H","")</f>
        <v>H</v>
      </c>
      <c r="BD10" s="3">
        <v>1</v>
      </c>
      <c r="BE10" s="3" t="str">
        <f>INDEX($U$4:$U$7,MATCH(1,$AG$4:$AG$7,0))</f>
        <v>Corea del Sur</v>
      </c>
      <c r="BF10" s="3">
        <f>INDEX($V$4:$V$7,MATCH(1,$AG$4:$AG$7,0))</f>
        <v>0</v>
      </c>
      <c r="BG10" s="3">
        <f>INDEX($AB$4:$AB$7,MATCH(1,$AG$4:$AG$7,0))</f>
        <v>0</v>
      </c>
      <c r="BH10" s="3">
        <f>INDEX($AC$4:$AC$7,MATCH(1,$AG$4:$AG$7,0))</f>
        <v>0</v>
      </c>
      <c r="BI10" s="4">
        <v>1</v>
      </c>
      <c r="BJ10" s="4" t="str">
        <f>INDEX($U$11:$U$14,MATCH(1,$AG$11:$AG$14,0))</f>
        <v>Bosnia y Herzegovina</v>
      </c>
      <c r="BK10" s="4">
        <f>INDEX($V$11:$V$14,MATCH(1,$AG$11:$AG$14,0))</f>
        <v>0</v>
      </c>
      <c r="BL10" s="4">
        <f>INDEX($AB$11:$AB$14,MATCH(1,$AG$11:$AG$14,0))</f>
        <v>0</v>
      </c>
      <c r="BM10" s="4">
        <f>INDEX($AC$11:$AC$14,MATCH(1,$AG$11:$AG$14,0))</f>
        <v>0</v>
      </c>
      <c r="BN10" s="5">
        <v>1</v>
      </c>
      <c r="BO10" s="5" t="str">
        <f>INDEX($U$18:$U$21,MATCH(1,$AG$18:$AG$21,0))</f>
        <v>Brasil</v>
      </c>
      <c r="BP10" s="5">
        <f>INDEX($V$18:$V$21,MATCH(1,$AG$18:$AG$21,0))</f>
        <v>0</v>
      </c>
      <c r="BQ10" s="5">
        <f>INDEX($AB$18:$AB$21,MATCH(1,$AG$18:$AG$21,0))</f>
        <v>0</v>
      </c>
      <c r="BR10" s="5">
        <f>INDEX($AC$18:$AC$21,MATCH(1,$AG$18:$AG$21,0))</f>
        <v>0</v>
      </c>
      <c r="BT10" s="2">
        <f>1</f>
        <v>1</v>
      </c>
      <c r="BU10" s="2" t="str">
        <f>INDEX($AH$2:$AH$13,MATCH(1,$AM$2:$AM$13,0))</f>
        <v>J</v>
      </c>
      <c r="BV10" s="2" t="str">
        <f>INDEX($AI$2:$AI$13,MATCH(1,$AM$2:$AM$13,0))</f>
        <v>Austria</v>
      </c>
      <c r="BW10" s="2">
        <f>INDEX($AJ$2:$AJ$13,MATCH(1,$AM$2:$AM$13,0))</f>
        <v>0</v>
      </c>
      <c r="BX10" s="2">
        <f>INDEX($AK$2:$AK$13,MATCH(1,$AM$2:$AM$13,0))</f>
        <v>0</v>
      </c>
      <c r="BY10" s="2">
        <f>INDEX($AL$2:$AL$13,MATCH(1,$AM$2:$AM$13,0))</f>
        <v>0</v>
      </c>
    </row>
    <row r="11" spans="1:77" x14ac:dyDescent="0.25">
      <c r="A11" s="2" t="str">
        <f t="shared" si="2"/>
        <v>viernes</v>
      </c>
      <c r="B11" s="14">
        <f t="shared" si="3"/>
        <v>46185.541666666664</v>
      </c>
      <c r="C11" s="15">
        <f t="shared" si="4"/>
        <v>46185.541666666664</v>
      </c>
      <c r="D11" s="2" t="s">
        <v>80</v>
      </c>
      <c r="E11" s="2" t="s">
        <v>90</v>
      </c>
      <c r="F11" s="13"/>
      <c r="G11" s="13"/>
      <c r="H11" s="2" t="s">
        <v>91</v>
      </c>
      <c r="I11" s="2">
        <v>3</v>
      </c>
      <c r="J11" s="7" t="s">
        <v>92</v>
      </c>
      <c r="K11" s="23"/>
      <c r="L11" s="24"/>
      <c r="M11" s="25"/>
      <c r="N11" s="8">
        <f t="shared" si="5"/>
        <v>46185.541666666664</v>
      </c>
      <c r="O11" s="9" t="s">
        <v>34</v>
      </c>
      <c r="P11" s="16">
        <v>46185.625</v>
      </c>
      <c r="U11" s="12" t="s">
        <v>90</v>
      </c>
      <c r="V11" s="12">
        <f>SUMPRODUCT(($O$9:$O$80="B")*((($E$9:$E$80=U11)+($H$9:$H$80=U11))&gt;0)*ISNUMBER($F$9:$F$80)*ISNUMBER($G$9:$G$80))</f>
        <v>0</v>
      </c>
      <c r="W11" s="12">
        <f>SUMPRODUCT(($O$9:$O$80="B")*ISNUMBER($F$9:$F$80)*ISNUMBER($G$9:$G$80)*((($E$9:$E$80=U11)*($F$9:$F$80&gt;$G$9:$G$80))+(($H$9:$H$80=U11)*($G$9:$G$80&gt;$F$9:$F$80))))</f>
        <v>0</v>
      </c>
      <c r="X11" s="12">
        <f>SUMPRODUCT(($O$9:$O$80="B")*ISNUMBER($F$9:$F$80)*ISNUMBER($G$9:$G$80)*((($E$9:$E$80=U11)+($H$9:$H$80=U11))&gt;0)*($F$9:$F$80=$G$9:$G$80))</f>
        <v>0</v>
      </c>
      <c r="Y11" s="12">
        <f>V11-W11-X11</f>
        <v>0</v>
      </c>
      <c r="Z11" s="12">
        <f>SUMPRODUCT(($O$9:$O$80="B")*ISNUMBER($F$9:$F$80)*ISNUMBER($G$9:$G$80)*($E$9:$E$80=U11)*$F$9:$F$80)+SUMPRODUCT(($O$9:$O$80="B")*ISNUMBER($F$9:$F$80)*ISNUMBER($G$9:$G$80)*($H$9:$H$80=U11)*$G$9:$G$80)</f>
        <v>0</v>
      </c>
      <c r="AA11" s="12">
        <f>SUMPRODUCT(($O$9:$O$80="B")*ISNUMBER($F$9:$F$80)*ISNUMBER($G$9:$G$80)*($E$9:$E$80=U11)*$G$9:$G$80)+SUMPRODUCT(($O$9:$O$80="B")*ISNUMBER($F$9:$F$80)*ISNUMBER($G$9:$G$80)*($H$9:$H$80=U11)*$F$9:$F$80)</f>
        <v>0</v>
      </c>
      <c r="AB11" s="12">
        <f>Z11-AA11</f>
        <v>0</v>
      </c>
      <c r="AC11" s="12">
        <f>W11*3+X11</f>
        <v>0</v>
      </c>
      <c r="AD11" s="12">
        <f>IF(COUNTIF($AC$11:$AC$14,AC11)=1,0,SUMPRODUCT(($O$9:$O$80="B")*ISNUMBER($F$9:$F$80)*ISNUMBER($G$9:$G$80)*((($E$9:$E$80=U11)*(((($H$9:$H$80=$U$11)*($AC$11=AC11))+(($H$9:$H$80=$U$12)*($AC$12=AC11))+(($H$9:$H$80=$U$13)*($AC$13=AC11))+(($H$9:$H$80=$U$14)*($AC$14=AC11)) )&gt;0)*(($F$9:$F$80&gt;$G$9:$G$80)*3+($F$9:$F$80=$G$9:$G$80)))+(($H$9:$H$80=U11)*(((($E$9:$E$80=$U$11)*($AC$11=AC11))+(($E$9:$E$80=$U$12)*($AC$12=AC11))+(($E$9:$E$80=$U$13)*($AC$13=AC11))+(($E$9:$E$80=$U$14)*($AC$14=AC11)) )&gt;0)*(($G$9:$G$80&gt;$F$9:$F$80)*3+($F$9:$F$80=$G$9:$G$80))))))</f>
        <v>0</v>
      </c>
      <c r="AE11" s="12">
        <f>IF(COUNTIF($AC$11:$AC$14,AC11)=1,0,SUMPRODUCT(($O$9:$O$80="B")*ISNUMBER($F$9:$F$80)*ISNUMBER($G$9:$G$80)*((($E$9:$E$80=U11)*(((($H$9:$H$80=$U$11)*($AC$11=AC11))+(($H$9:$H$80=$U$12)*($AC$12=AC11))+(($H$9:$H$80=$U$13)*($AC$13=AC11))+(($H$9:$H$80=$U$14)*($AC$14=AC11)) )&gt;0)*($F$9:$F$80-$G$9:$G$80))+(($H$9:$H$80=U11)*(((($E$9:$E$80=$U$11)*($AC$11=AC11))+(($E$9:$E$80=$U$12)*($AC$12=AC11))+(($E$9:$E$80=$U$13)*($AC$13=AC11))+(($E$9:$E$80=$U$14)*($AC$14=AC11)) )&gt;0)*($G$9:$G$80-$F$9:$F$80)))))</f>
        <v>0</v>
      </c>
      <c r="AF11" s="12">
        <f>IF(COUNTIF($AC$11:$AC$14,AC11)=1,0,SUMPRODUCT(($O$9:$O$80="B")*ISNUMBER($F$9:$F$80)*ISNUMBER($G$9:$G$80)*((($E$9:$E$80=U11)*(((($H$9:$H$80=$U$11)*($AC$11=AC11))+(($H$9:$H$80=$U$12)*($AC$12=AC11))+(($H$9:$H$80=$U$13)*($AC$13=AC11))+(($H$9:$H$80=$U$14)*($AC$14=AC11)) )&gt;0)*$F$9:$F$80)+(($H$9:$H$80=U11)*(((($E$9:$E$80=$U$11)*($AC$11=AC11))+(($E$9:$E$80=$U$12)*($AC$12=AC11))+(($E$9:$E$80=$U$13)*($AC$13=AC11))+(($E$9:$E$80=$U$14)*($AC$14=AC11)) )&gt;0)*$G$9:$G$80))))</f>
        <v>0</v>
      </c>
      <c r="AG11" s="12">
        <f>1+SUMPRODUCT(--(($AC$11:$AC$14&gt;AC11)+(($AC$11:$AC$14=AC11)*($AD$11:$AD$14&gt;AD11))+(($AC$11:$AC$14=AC11)*($AD$11:$AD$14=AD11)*($AE$11:$AE$14&gt;AE11))+(($AC$11:$AC$14=AC11)*($AD$11:$AD$14=AD11)*($AE$11:$AE$14=AE11)*($AF$11:$AF$14&gt;AF11))+(($AC$11:$AC$14=AC11)*($AD$11:$AD$14=AD11)*($AE$11:$AE$14=AE11)*($AF$11:$AF$14=AF11)*($AB$11:$AB$14&gt;AB11))+(($AC$11:$AC$14=AC11)*($AD$11:$AD$14=AD11)*($AE$11:$AE$14=AE11)*($AF$11:$AF$14=AF11)*($AB$11:$AB$14=AB11)*($Z$11:$Z$14&gt;Z11))+(($AC$11:$AC$14=AC11)*($AD$11:$AD$14=AD11)*($AE$11:$AE$14=AE11)*($AF$11:$AF$14=AF11)*($AB$11:$AB$14=AB11)*($Z$11:$Z$14=Z11)*($U$11:$U$14&lt;U11))))</f>
        <v>2</v>
      </c>
      <c r="AH11" s="12" t="s">
        <v>50</v>
      </c>
      <c r="AI11" s="12" t="str">
        <f>B144</f>
        <v>Austria</v>
      </c>
      <c r="AJ11" s="12">
        <f>E144</f>
        <v>0</v>
      </c>
      <c r="AK11" s="12">
        <f>D144</f>
        <v>0</v>
      </c>
      <c r="AL11" s="12">
        <f>INDEX($Z$67:$Z$70,MATCH(AI11,$U$67:$U$70,0))</f>
        <v>0</v>
      </c>
      <c r="AM11" s="12">
        <f t="shared" si="0"/>
        <v>1</v>
      </c>
      <c r="AO11" s="11" t="s">
        <v>93</v>
      </c>
      <c r="AP11" s="11" t="s">
        <v>30</v>
      </c>
      <c r="AQ11" s="11" t="s">
        <v>32</v>
      </c>
      <c r="AR11" s="11" t="s">
        <v>36</v>
      </c>
      <c r="AS11" s="11" t="s">
        <v>46</v>
      </c>
      <c r="AT11" s="11" t="s">
        <v>28</v>
      </c>
      <c r="AU11" s="11" t="s">
        <v>34</v>
      </c>
      <c r="AV11" s="11" t="s">
        <v>35</v>
      </c>
      <c r="AW11" s="11" t="s">
        <v>50</v>
      </c>
      <c r="AX11" s="11" t="str">
        <f>IF(COUNTIF($B$152:$B$159,"I")&gt;0,"I","")</f>
        <v>I</v>
      </c>
      <c r="BD11" s="3">
        <v>2</v>
      </c>
      <c r="BE11" s="3" t="str">
        <f>INDEX($U$4:$U$7,MATCH(2,$AG$4:$AG$7,0))</f>
        <v>México</v>
      </c>
      <c r="BF11" s="3">
        <f>INDEX($V$4:$V$7,MATCH(2,$AG$4:$AG$7,0))</f>
        <v>0</v>
      </c>
      <c r="BG11" s="3">
        <f>INDEX($AB$4:$AB$7,MATCH(2,$AG$4:$AG$7,0))</f>
        <v>0</v>
      </c>
      <c r="BH11" s="3">
        <f>INDEX($AC$4:$AC$7,MATCH(2,$AG$4:$AG$7,0))</f>
        <v>0</v>
      </c>
      <c r="BI11" s="4">
        <v>2</v>
      </c>
      <c r="BJ11" s="4" t="str">
        <f>INDEX($U$11:$U$14,MATCH(2,$AG$11:$AG$14,0))</f>
        <v>Canadá</v>
      </c>
      <c r="BK11" s="4">
        <f>INDEX($V$11:$V$14,MATCH(2,$AG$11:$AG$14,0))</f>
        <v>0</v>
      </c>
      <c r="BL11" s="4">
        <f>INDEX($AB$11:$AB$14,MATCH(2,$AG$11:$AG$14,0))</f>
        <v>0</v>
      </c>
      <c r="BM11" s="4">
        <f>INDEX($AC$11:$AC$14,MATCH(2,$AG$11:$AG$14,0))</f>
        <v>0</v>
      </c>
      <c r="BN11" s="5">
        <v>2</v>
      </c>
      <c r="BO11" s="5" t="str">
        <f>INDEX($U$18:$U$21,MATCH(2,$AG$18:$AG$21,0))</f>
        <v>Escocia</v>
      </c>
      <c r="BP11" s="5">
        <f>INDEX($V$18:$V$21,MATCH(2,$AG$18:$AG$21,0))</f>
        <v>0</v>
      </c>
      <c r="BQ11" s="5">
        <f>INDEX($AB$18:$AB$21,MATCH(2,$AG$18:$AG$21,0))</f>
        <v>0</v>
      </c>
      <c r="BR11" s="5">
        <f>INDEX($AC$18:$AC$21,MATCH(2,$AG$18:$AG$21,0))</f>
        <v>0</v>
      </c>
      <c r="BT11" s="2">
        <f>2</f>
        <v>2</v>
      </c>
      <c r="BU11" s="2" t="str">
        <f>INDEX($AH$2:$AH$13,MATCH(2,$AM$2:$AM$13,0))</f>
        <v>B</v>
      </c>
      <c r="BV11" s="2" t="str">
        <f>INDEX($AI$2:$AI$13,MATCH(2,$AM$2:$AM$13,0))</f>
        <v>Catar</v>
      </c>
      <c r="BW11" s="2">
        <f>INDEX($AJ$2:$AJ$13,MATCH(2,$AM$2:$AM$13,0))</f>
        <v>0</v>
      </c>
      <c r="BX11" s="2">
        <f>INDEX($AK$2:$AK$13,MATCH(2,$AM$2:$AM$13,0))</f>
        <v>0</v>
      </c>
      <c r="BY11" s="2">
        <f>INDEX($AL$2:$AL$13,MATCH(2,$AM$2:$AM$13,0))</f>
        <v>0</v>
      </c>
    </row>
    <row r="12" spans="1:77" x14ac:dyDescent="0.25">
      <c r="A12" s="2" t="str">
        <f t="shared" si="2"/>
        <v>viernes</v>
      </c>
      <c r="B12" s="14">
        <f t="shared" si="3"/>
        <v>46185.791666666664</v>
      </c>
      <c r="C12" s="15">
        <f t="shared" si="4"/>
        <v>46185.791666666664</v>
      </c>
      <c r="D12" s="2" t="s">
        <v>94</v>
      </c>
      <c r="E12" s="2" t="s">
        <v>95</v>
      </c>
      <c r="F12" s="13"/>
      <c r="G12" s="13"/>
      <c r="H12" s="2" t="s">
        <v>96</v>
      </c>
      <c r="I12" s="2">
        <v>4</v>
      </c>
      <c r="J12" s="7" t="s">
        <v>97</v>
      </c>
      <c r="K12" s="23"/>
      <c r="L12" s="24"/>
      <c r="M12" s="25"/>
      <c r="N12" s="8">
        <f t="shared" si="5"/>
        <v>46185.791666666664</v>
      </c>
      <c r="O12" s="9" t="s">
        <v>30</v>
      </c>
      <c r="P12" s="16">
        <v>46185.875</v>
      </c>
      <c r="U12" s="12" t="s">
        <v>91</v>
      </c>
      <c r="V12" s="12">
        <f>SUMPRODUCT(($O$9:$O$80="B")*((($E$9:$E$80=U12)+($H$9:$H$80=U12))&gt;0)*ISNUMBER($F$9:$F$80)*ISNUMBER($G$9:$G$80))</f>
        <v>0</v>
      </c>
      <c r="W12" s="12">
        <f>SUMPRODUCT(($O$9:$O$80="B")*ISNUMBER($F$9:$F$80)*ISNUMBER($G$9:$G$80)*((($E$9:$E$80=U12)*($F$9:$F$80&gt;$G$9:$G$80))+(($H$9:$H$80=U12)*($G$9:$G$80&gt;$F$9:$F$80))))</f>
        <v>0</v>
      </c>
      <c r="X12" s="12">
        <f>SUMPRODUCT(($O$9:$O$80="B")*ISNUMBER($F$9:$F$80)*ISNUMBER($G$9:$G$80)*((($E$9:$E$80=U12)+($H$9:$H$80=U12))&gt;0)*($F$9:$F$80=$G$9:$G$80))</f>
        <v>0</v>
      </c>
      <c r="Y12" s="12">
        <f>V12-W12-X12</f>
        <v>0</v>
      </c>
      <c r="Z12" s="12">
        <f>SUMPRODUCT(($O$9:$O$80="B")*ISNUMBER($F$9:$F$80)*ISNUMBER($G$9:$G$80)*($E$9:$E$80=U12)*$F$9:$F$80)+SUMPRODUCT(($O$9:$O$80="B")*ISNUMBER($F$9:$F$80)*ISNUMBER($G$9:$G$80)*($H$9:$H$80=U12)*$G$9:$G$80)</f>
        <v>0</v>
      </c>
      <c r="AA12" s="12">
        <f>SUMPRODUCT(($O$9:$O$80="B")*ISNUMBER($F$9:$F$80)*ISNUMBER($G$9:$G$80)*($E$9:$E$80=U12)*$G$9:$G$80)+SUMPRODUCT(($O$9:$O$80="B")*ISNUMBER($F$9:$F$80)*ISNUMBER($G$9:$G$80)*($H$9:$H$80=U12)*$F$9:$F$80)</f>
        <v>0</v>
      </c>
      <c r="AB12" s="12">
        <f>Z12-AA12</f>
        <v>0</v>
      </c>
      <c r="AC12" s="12">
        <f>W12*3+X12</f>
        <v>0</v>
      </c>
      <c r="AD12" s="12">
        <f>IF(COUNTIF($AC$11:$AC$14,AC12)=1,0,SUMPRODUCT(($O$9:$O$80="B")*ISNUMBER($F$9:$F$80)*ISNUMBER($G$9:$G$80)*((($E$9:$E$80=U12)*(((($H$9:$H$80=$U$11)*($AC$11=AC12))+(($H$9:$H$80=$U$12)*($AC$12=AC12))+(($H$9:$H$80=$U$13)*($AC$13=AC12))+(($H$9:$H$80=$U$14)*($AC$14=AC12)) )&gt;0)*(($F$9:$F$80&gt;$G$9:$G$80)*3+($F$9:$F$80=$G$9:$G$80)))+(($H$9:$H$80=U12)*(((($E$9:$E$80=$U$11)*($AC$11=AC12))+(($E$9:$E$80=$U$12)*($AC$12=AC12))+(($E$9:$E$80=$U$13)*($AC$13=AC12))+(($E$9:$E$80=$U$14)*($AC$14=AC12)) )&gt;0)*(($G$9:$G$80&gt;$F$9:$F$80)*3+($F$9:$F$80=$G$9:$G$80))))))</f>
        <v>0</v>
      </c>
      <c r="AE12" s="12">
        <f>IF(COUNTIF($AC$11:$AC$14,AC12)=1,0,SUMPRODUCT(($O$9:$O$80="B")*ISNUMBER($F$9:$F$80)*ISNUMBER($G$9:$G$80)*((($E$9:$E$80=U12)*(((($H$9:$H$80=$U$11)*($AC$11=AC12))+(($H$9:$H$80=$U$12)*($AC$12=AC12))+(($H$9:$H$80=$U$13)*($AC$13=AC12))+(($H$9:$H$80=$U$14)*($AC$14=AC12)) )&gt;0)*($F$9:$F$80-$G$9:$G$80))+(($H$9:$H$80=U12)*(((($E$9:$E$80=$U$11)*($AC$11=AC12))+(($E$9:$E$80=$U$12)*($AC$12=AC12))+(($E$9:$E$80=$U$13)*($AC$13=AC12))+(($E$9:$E$80=$U$14)*($AC$14=AC12)) )&gt;0)*($G$9:$G$80-$F$9:$F$80)))))</f>
        <v>0</v>
      </c>
      <c r="AF12" s="12">
        <f>IF(COUNTIF($AC$11:$AC$14,AC12)=1,0,SUMPRODUCT(($O$9:$O$80="B")*ISNUMBER($F$9:$F$80)*ISNUMBER($G$9:$G$80)*((($E$9:$E$80=U12)*(((($H$9:$H$80=$U$11)*($AC$11=AC12))+(($H$9:$H$80=$U$12)*($AC$12=AC12))+(($H$9:$H$80=$U$13)*($AC$13=AC12))+(($H$9:$H$80=$U$14)*($AC$14=AC12)) )&gt;0)*$F$9:$F$80)+(($H$9:$H$80=U12)*(((($E$9:$E$80=$U$11)*($AC$11=AC12))+(($E$9:$E$80=$U$12)*($AC$12=AC12))+(($E$9:$E$80=$U$13)*($AC$13=AC12))+(($E$9:$E$80=$U$14)*($AC$14=AC12)) )&gt;0)*$G$9:$G$80))))</f>
        <v>0</v>
      </c>
      <c r="AG12" s="12">
        <f>1+SUMPRODUCT(--(($AC$11:$AC$14&gt;AC12)+(($AC$11:$AC$14=AC12)*($AD$11:$AD$14&gt;AD12))+(($AC$11:$AC$14=AC12)*($AD$11:$AD$14=AD12)*($AE$11:$AE$14&gt;AE12))+(($AC$11:$AC$14=AC12)*($AD$11:$AD$14=AD12)*($AE$11:$AE$14=AE12)*($AF$11:$AF$14&gt;AF12))+(($AC$11:$AC$14=AC12)*($AD$11:$AD$14=AD12)*($AE$11:$AE$14=AE12)*($AF$11:$AF$14=AF12)*($AB$11:$AB$14&gt;AB12))+(($AC$11:$AC$14=AC12)*($AD$11:$AD$14=AD12)*($AE$11:$AE$14=AE12)*($AF$11:$AF$14=AF12)*($AB$11:$AB$14=AB12)*($Z$11:$Z$14&gt;Z12))+(($AC$11:$AC$14=AC12)*($AD$11:$AD$14=AD12)*($AE$11:$AE$14=AE12)*($AF$11:$AF$14=AF12)*($AB$11:$AB$14=AB12)*($Z$11:$Z$14=Z12)*($U$11:$U$14&lt;U12))))</f>
        <v>1</v>
      </c>
      <c r="AH12" s="12" t="s">
        <v>55</v>
      </c>
      <c r="AI12" s="12" t="str">
        <f>G144</f>
        <v>RD Congo</v>
      </c>
      <c r="AJ12" s="12">
        <f>J144</f>
        <v>0</v>
      </c>
      <c r="AK12" s="12">
        <f>I144</f>
        <v>0</v>
      </c>
      <c r="AL12" s="12">
        <f>INDEX($Z$74:$Z$77,MATCH(AI12,$U$74:$U$77,0))</f>
        <v>0</v>
      </c>
      <c r="AM12" s="12">
        <f t="shared" si="0"/>
        <v>10</v>
      </c>
      <c r="AO12" s="11" t="s">
        <v>98</v>
      </c>
      <c r="AP12" s="11" t="s">
        <v>30</v>
      </c>
      <c r="AQ12" s="11" t="s">
        <v>32</v>
      </c>
      <c r="AR12" s="11" t="s">
        <v>36</v>
      </c>
      <c r="AS12" s="11" t="s">
        <v>55</v>
      </c>
      <c r="AT12" s="11" t="s">
        <v>28</v>
      </c>
      <c r="AU12" s="11" t="s">
        <v>34</v>
      </c>
      <c r="AV12" s="11" t="s">
        <v>35</v>
      </c>
      <c r="AW12" s="11" t="s">
        <v>46</v>
      </c>
      <c r="AX12" s="11" t="str">
        <f>IF(COUNTIF($B$152:$B$159,"J")&gt;0,"J","")</f>
        <v>J</v>
      </c>
      <c r="BD12" s="3">
        <v>3</v>
      </c>
      <c r="BE12" s="3" t="str">
        <f>INDEX($U$4:$U$7,MATCH(3,$AG$4:$AG$7,0))</f>
        <v>República Checa</v>
      </c>
      <c r="BF12" s="3">
        <f>INDEX($V$4:$V$7,MATCH(3,$AG$4:$AG$7,0))</f>
        <v>0</v>
      </c>
      <c r="BG12" s="3">
        <f>INDEX($AB$4:$AB$7,MATCH(3,$AG$4:$AG$7,0))</f>
        <v>0</v>
      </c>
      <c r="BH12" s="3">
        <f>INDEX($AC$4:$AC$7,MATCH(3,$AG$4:$AG$7,0))</f>
        <v>0</v>
      </c>
      <c r="BI12" s="4">
        <v>3</v>
      </c>
      <c r="BJ12" s="4" t="str">
        <f>INDEX($U$11:$U$14,MATCH(3,$AG$11:$AG$14,0))</f>
        <v>Catar</v>
      </c>
      <c r="BK12" s="4">
        <f>INDEX($V$11:$V$14,MATCH(3,$AG$11:$AG$14,0))</f>
        <v>0</v>
      </c>
      <c r="BL12" s="4">
        <f>INDEX($AB$11:$AB$14,MATCH(3,$AG$11:$AG$14,0))</f>
        <v>0</v>
      </c>
      <c r="BM12" s="4">
        <f>INDEX($AC$11:$AC$14,MATCH(3,$AG$11:$AG$14,0))</f>
        <v>0</v>
      </c>
      <c r="BN12" s="5">
        <v>3</v>
      </c>
      <c r="BO12" s="5" t="str">
        <f>INDEX($U$18:$U$21,MATCH(3,$AG$18:$AG$21,0))</f>
        <v>Haití</v>
      </c>
      <c r="BP12" s="5">
        <f>INDEX($V$18:$V$21,MATCH(3,$AG$18:$AG$21,0))</f>
        <v>0</v>
      </c>
      <c r="BQ12" s="5">
        <f>INDEX($AB$18:$AB$21,MATCH(3,$AG$18:$AG$21,0))</f>
        <v>0</v>
      </c>
      <c r="BR12" s="5">
        <f>INDEX($AC$18:$AC$21,MATCH(3,$AG$18:$AG$21,0))</f>
        <v>0</v>
      </c>
      <c r="BT12" s="2">
        <f>3</f>
        <v>3</v>
      </c>
      <c r="BU12" s="2" t="str">
        <f>INDEX($AH$2:$AH$13,MATCH(3,$AM$2:$AM$13,0))</f>
        <v>E</v>
      </c>
      <c r="BV12" s="2" t="str">
        <f>INDEX($AI$2:$AI$13,MATCH(3,$AM$2:$AM$13,0))</f>
        <v>Curazao</v>
      </c>
      <c r="BW12" s="2">
        <f>INDEX($AJ$2:$AJ$13,MATCH(3,$AM$2:$AM$13,0))</f>
        <v>0</v>
      </c>
      <c r="BX12" s="2">
        <f>INDEX($AK$2:$AK$13,MATCH(3,$AM$2:$AM$13,0))</f>
        <v>0</v>
      </c>
      <c r="BY12" s="2">
        <f>INDEX($AL$2:$AL$13,MATCH(3,$AM$2:$AM$13,0))</f>
        <v>0</v>
      </c>
    </row>
    <row r="13" spans="1:77" x14ac:dyDescent="0.25">
      <c r="A13" s="2" t="str">
        <f t="shared" si="2"/>
        <v>sábado</v>
      </c>
      <c r="B13" s="14">
        <f t="shared" si="3"/>
        <v>46186.541666666664</v>
      </c>
      <c r="C13" s="15">
        <f t="shared" si="4"/>
        <v>46186.541666666664</v>
      </c>
      <c r="D13" s="2" t="s">
        <v>80</v>
      </c>
      <c r="E13" s="2" t="s">
        <v>99</v>
      </c>
      <c r="F13" s="13"/>
      <c r="G13" s="13"/>
      <c r="H13" s="2" t="s">
        <v>100</v>
      </c>
      <c r="I13" s="2">
        <v>8</v>
      </c>
      <c r="J13" s="7" t="s">
        <v>101</v>
      </c>
      <c r="K13" s="23"/>
      <c r="L13" s="24"/>
      <c r="M13" s="25"/>
      <c r="N13" s="8">
        <f t="shared" si="5"/>
        <v>46186.541666666664</v>
      </c>
      <c r="O13" s="9" t="s">
        <v>34</v>
      </c>
      <c r="P13" s="16">
        <v>46186.625</v>
      </c>
      <c r="U13" s="12" t="s">
        <v>99</v>
      </c>
      <c r="V13" s="12">
        <f>SUMPRODUCT(($O$9:$O$80="B")*((($E$9:$E$80=U13)+($H$9:$H$80=U13))&gt;0)*ISNUMBER($F$9:$F$80)*ISNUMBER($G$9:$G$80))</f>
        <v>0</v>
      </c>
      <c r="W13" s="12">
        <f>SUMPRODUCT(($O$9:$O$80="B")*ISNUMBER($F$9:$F$80)*ISNUMBER($G$9:$G$80)*((($E$9:$E$80=U13)*($F$9:$F$80&gt;$G$9:$G$80))+(($H$9:$H$80=U13)*($G$9:$G$80&gt;$F$9:$F$80))))</f>
        <v>0</v>
      </c>
      <c r="X13" s="12">
        <f>SUMPRODUCT(($O$9:$O$80="B")*ISNUMBER($F$9:$F$80)*ISNUMBER($G$9:$G$80)*((($E$9:$E$80=U13)+($H$9:$H$80=U13))&gt;0)*($F$9:$F$80=$G$9:$G$80))</f>
        <v>0</v>
      </c>
      <c r="Y13" s="12">
        <f>V13-W13-X13</f>
        <v>0</v>
      </c>
      <c r="Z13" s="12">
        <f>SUMPRODUCT(($O$9:$O$80="B")*ISNUMBER($F$9:$F$80)*ISNUMBER($G$9:$G$80)*($E$9:$E$80=U13)*$F$9:$F$80)+SUMPRODUCT(($O$9:$O$80="B")*ISNUMBER($F$9:$F$80)*ISNUMBER($G$9:$G$80)*($H$9:$H$80=U13)*$G$9:$G$80)</f>
        <v>0</v>
      </c>
      <c r="AA13" s="12">
        <f>SUMPRODUCT(($O$9:$O$80="B")*ISNUMBER($F$9:$F$80)*ISNUMBER($G$9:$G$80)*($E$9:$E$80=U13)*$G$9:$G$80)+SUMPRODUCT(($O$9:$O$80="B")*ISNUMBER($F$9:$F$80)*ISNUMBER($G$9:$G$80)*($H$9:$H$80=U13)*$F$9:$F$80)</f>
        <v>0</v>
      </c>
      <c r="AB13" s="12">
        <f>Z13-AA13</f>
        <v>0</v>
      </c>
      <c r="AC13" s="12">
        <f>W13*3+X13</f>
        <v>0</v>
      </c>
      <c r="AD13" s="12">
        <f>IF(COUNTIF($AC$11:$AC$14,AC13)=1,0,SUMPRODUCT(($O$9:$O$80="B")*ISNUMBER($F$9:$F$80)*ISNUMBER($G$9:$G$80)*((($E$9:$E$80=U13)*(((($H$9:$H$80=$U$11)*($AC$11=AC13))+(($H$9:$H$80=$U$12)*($AC$12=AC13))+(($H$9:$H$80=$U$13)*($AC$13=AC13))+(($H$9:$H$80=$U$14)*($AC$14=AC13)) )&gt;0)*(($F$9:$F$80&gt;$G$9:$G$80)*3+($F$9:$F$80=$G$9:$G$80)))+(($H$9:$H$80=U13)*(((($E$9:$E$80=$U$11)*($AC$11=AC13))+(($E$9:$E$80=$U$12)*($AC$12=AC13))+(($E$9:$E$80=$U$13)*($AC$13=AC13))+(($E$9:$E$80=$U$14)*($AC$14=AC13)) )&gt;0)*(($G$9:$G$80&gt;$F$9:$F$80)*3+($F$9:$F$80=$G$9:$G$80))))))</f>
        <v>0</v>
      </c>
      <c r="AE13" s="12">
        <f>IF(COUNTIF($AC$11:$AC$14,AC13)=1,0,SUMPRODUCT(($O$9:$O$80="B")*ISNUMBER($F$9:$F$80)*ISNUMBER($G$9:$G$80)*((($E$9:$E$80=U13)*(((($H$9:$H$80=$U$11)*($AC$11=AC13))+(($H$9:$H$80=$U$12)*($AC$12=AC13))+(($H$9:$H$80=$U$13)*($AC$13=AC13))+(($H$9:$H$80=$U$14)*($AC$14=AC13)) )&gt;0)*($F$9:$F$80-$G$9:$G$80))+(($H$9:$H$80=U13)*(((($E$9:$E$80=$U$11)*($AC$11=AC13))+(($E$9:$E$80=$U$12)*($AC$12=AC13))+(($E$9:$E$80=$U$13)*($AC$13=AC13))+(($E$9:$E$80=$U$14)*($AC$14=AC13)) )&gt;0)*($G$9:$G$80-$F$9:$F$80)))))</f>
        <v>0</v>
      </c>
      <c r="AF13" s="12">
        <f>IF(COUNTIF($AC$11:$AC$14,AC13)=1,0,SUMPRODUCT(($O$9:$O$80="B")*ISNUMBER($F$9:$F$80)*ISNUMBER($G$9:$G$80)*((($E$9:$E$80=U13)*(((($H$9:$H$80=$U$11)*($AC$11=AC13))+(($H$9:$H$80=$U$12)*($AC$12=AC13))+(($H$9:$H$80=$U$13)*($AC$13=AC13))+(($H$9:$H$80=$U$14)*($AC$14=AC13)) )&gt;0)*$F$9:$F$80)+(($H$9:$H$80=U13)*(((($E$9:$E$80=$U$11)*($AC$11=AC13))+(($E$9:$E$80=$U$12)*($AC$12=AC13))+(($E$9:$E$80=$U$13)*($AC$13=AC13))+(($E$9:$E$80=$U$14)*($AC$14=AC13)) )&gt;0)*$G$9:$G$80))))</f>
        <v>0</v>
      </c>
      <c r="AG13" s="12">
        <f>1+SUMPRODUCT(--(($AC$11:$AC$14&gt;AC13)+(($AC$11:$AC$14=AC13)*($AD$11:$AD$14&gt;AD13))+(($AC$11:$AC$14=AC13)*($AD$11:$AD$14=AD13)*($AE$11:$AE$14&gt;AE13))+(($AC$11:$AC$14=AC13)*($AD$11:$AD$14=AD13)*($AE$11:$AE$14=AE13)*($AF$11:$AF$14&gt;AF13))+(($AC$11:$AC$14=AC13)*($AD$11:$AD$14=AD13)*($AE$11:$AE$14=AE13)*($AF$11:$AF$14=AF13)*($AB$11:$AB$14&gt;AB13))+(($AC$11:$AC$14=AC13)*($AD$11:$AD$14=AD13)*($AE$11:$AE$14=AE13)*($AF$11:$AF$14=AF13)*($AB$11:$AB$14=AB13)*($Z$11:$Z$14&gt;Z13))+(($AC$11:$AC$14=AC13)*($AD$11:$AD$14=AD13)*($AE$11:$AE$14=AE13)*($AF$11:$AF$14=AF13)*($AB$11:$AB$14=AB13)*($Z$11:$Z$14=Z13)*($U$11:$U$14&lt;U13))))</f>
        <v>3</v>
      </c>
      <c r="AH13" s="12" t="s">
        <v>60</v>
      </c>
      <c r="AI13" s="12" t="str">
        <f>L144</f>
        <v>Inglaterra</v>
      </c>
      <c r="AJ13" s="12">
        <f>O144</f>
        <v>0</v>
      </c>
      <c r="AK13" s="12">
        <f>N144</f>
        <v>0</v>
      </c>
      <c r="AL13" s="12">
        <f>INDEX($Z$81:$Z$84,MATCH(AI13,$U$81:$U$84,0))</f>
        <v>0</v>
      </c>
      <c r="AM13" s="12">
        <f t="shared" si="0"/>
        <v>6</v>
      </c>
      <c r="AO13" s="11" t="s">
        <v>102</v>
      </c>
      <c r="AP13" s="11" t="s">
        <v>30</v>
      </c>
      <c r="AQ13" s="11" t="s">
        <v>32</v>
      </c>
      <c r="AR13" s="11" t="s">
        <v>36</v>
      </c>
      <c r="AS13" s="11" t="s">
        <v>46</v>
      </c>
      <c r="AT13" s="11" t="s">
        <v>28</v>
      </c>
      <c r="AU13" s="11" t="s">
        <v>34</v>
      </c>
      <c r="AV13" s="11" t="s">
        <v>35</v>
      </c>
      <c r="AW13" s="11" t="s">
        <v>60</v>
      </c>
      <c r="AX13" s="11" t="str">
        <f>IF(COUNTIF($B$152:$B$159,"K")&gt;0,"K","")</f>
        <v/>
      </c>
      <c r="BD13" s="3">
        <v>4</v>
      </c>
      <c r="BE13" s="3" t="str">
        <f>INDEX($U$4:$U$7,MATCH(4,$AG$4:$AG$7,0))</f>
        <v>Sudáfrica</v>
      </c>
      <c r="BF13" s="3">
        <f>INDEX($V$4:$V$7,MATCH(4,$AG$4:$AG$7,0))</f>
        <v>0</v>
      </c>
      <c r="BG13" s="3">
        <f>INDEX($AB$4:$AB$7,MATCH(4,$AG$4:$AG$7,0))</f>
        <v>0</v>
      </c>
      <c r="BH13" s="3">
        <f>INDEX($AC$4:$AC$7,MATCH(4,$AG$4:$AG$7,0))</f>
        <v>0</v>
      </c>
      <c r="BI13" s="4">
        <v>4</v>
      </c>
      <c r="BJ13" s="4" t="str">
        <f>INDEX($U$11:$U$14,MATCH(4,$AG$11:$AG$14,0))</f>
        <v>Suiza</v>
      </c>
      <c r="BK13" s="4">
        <f>INDEX($V$11:$V$14,MATCH(4,$AG$11:$AG$14,0))</f>
        <v>0</v>
      </c>
      <c r="BL13" s="4">
        <f>INDEX($AB$11:$AB$14,MATCH(4,$AG$11:$AG$14,0))</f>
        <v>0</v>
      </c>
      <c r="BM13" s="4">
        <f>INDEX($AC$11:$AC$14,MATCH(4,$AG$11:$AG$14,0))</f>
        <v>0</v>
      </c>
      <c r="BN13" s="5">
        <v>4</v>
      </c>
      <c r="BO13" s="5" t="str">
        <f>INDEX($U$18:$U$21,MATCH(4,$AG$18:$AG$21,0))</f>
        <v>Marruecos</v>
      </c>
      <c r="BP13" s="5">
        <f>INDEX($V$18:$V$21,MATCH(4,$AG$18:$AG$21,0))</f>
        <v>0</v>
      </c>
      <c r="BQ13" s="5">
        <f>INDEX($AB$18:$AB$21,MATCH(4,$AG$18:$AG$21,0))</f>
        <v>0</v>
      </c>
      <c r="BR13" s="5">
        <f>INDEX($AC$18:$AC$21,MATCH(4,$AG$18:$AG$21,0))</f>
        <v>0</v>
      </c>
      <c r="BT13" s="2">
        <f>4</f>
        <v>4</v>
      </c>
      <c r="BU13" s="2" t="str">
        <f>INDEX($AH$2:$AH$13,MATCH(4,$AM$2:$AM$13,0))</f>
        <v>H</v>
      </c>
      <c r="BV13" s="2" t="str">
        <f>INDEX($AI$2:$AI$13,MATCH(4,$AM$2:$AM$13,0))</f>
        <v>España</v>
      </c>
      <c r="BW13" s="2">
        <f>INDEX($AJ$2:$AJ$13,MATCH(4,$AM$2:$AM$13,0))</f>
        <v>0</v>
      </c>
      <c r="BX13" s="2">
        <f>INDEX($AK$2:$AK$13,MATCH(4,$AM$2:$AM$13,0))</f>
        <v>0</v>
      </c>
      <c r="BY13" s="2">
        <f>INDEX($AL$2:$AL$13,MATCH(4,$AM$2:$AM$13,0))</f>
        <v>0</v>
      </c>
    </row>
    <row r="14" spans="1:77" x14ac:dyDescent="0.25">
      <c r="A14" s="2" t="str">
        <f t="shared" si="2"/>
        <v>sábado</v>
      </c>
      <c r="B14" s="14">
        <f t="shared" si="3"/>
        <v>46186.666666666664</v>
      </c>
      <c r="C14" s="15">
        <f t="shared" si="4"/>
        <v>46186.666666666664</v>
      </c>
      <c r="D14" s="2" t="s">
        <v>81</v>
      </c>
      <c r="E14" s="2" t="s">
        <v>103</v>
      </c>
      <c r="F14" s="13"/>
      <c r="G14" s="13"/>
      <c r="H14" s="2" t="s">
        <v>104</v>
      </c>
      <c r="I14" s="2">
        <v>7</v>
      </c>
      <c r="J14" s="7" t="s">
        <v>105</v>
      </c>
      <c r="K14" s="23"/>
      <c r="L14" s="24"/>
      <c r="M14" s="25"/>
      <c r="N14" s="8">
        <f t="shared" si="5"/>
        <v>46186.666666666664</v>
      </c>
      <c r="O14" s="9" t="s">
        <v>32</v>
      </c>
      <c r="P14" s="16">
        <v>46186.75</v>
      </c>
      <c r="U14" s="12" t="s">
        <v>100</v>
      </c>
      <c r="V14" s="12">
        <f>SUMPRODUCT(($O$9:$O$80="B")*((($E$9:$E$80=U14)+($H$9:$H$80=U14))&gt;0)*ISNUMBER($F$9:$F$80)*ISNUMBER($G$9:$G$80))</f>
        <v>0</v>
      </c>
      <c r="W14" s="12">
        <f>SUMPRODUCT(($O$9:$O$80="B")*ISNUMBER($F$9:$F$80)*ISNUMBER($G$9:$G$80)*((($E$9:$E$80=U14)*($F$9:$F$80&gt;$G$9:$G$80))+(($H$9:$H$80=U14)*($G$9:$G$80&gt;$F$9:$F$80))))</f>
        <v>0</v>
      </c>
      <c r="X14" s="12">
        <f>SUMPRODUCT(($O$9:$O$80="B")*ISNUMBER($F$9:$F$80)*ISNUMBER($G$9:$G$80)*((($E$9:$E$80=U14)+($H$9:$H$80=U14))&gt;0)*($F$9:$F$80=$G$9:$G$80))</f>
        <v>0</v>
      </c>
      <c r="Y14" s="12">
        <f>V14-W14-X14</f>
        <v>0</v>
      </c>
      <c r="Z14" s="12">
        <f>SUMPRODUCT(($O$9:$O$80="B")*ISNUMBER($F$9:$F$80)*ISNUMBER($G$9:$G$80)*($E$9:$E$80=U14)*$F$9:$F$80)+SUMPRODUCT(($O$9:$O$80="B")*ISNUMBER($F$9:$F$80)*ISNUMBER($G$9:$G$80)*($H$9:$H$80=U14)*$G$9:$G$80)</f>
        <v>0</v>
      </c>
      <c r="AA14" s="12">
        <f>SUMPRODUCT(($O$9:$O$80="B")*ISNUMBER($F$9:$F$80)*ISNUMBER($G$9:$G$80)*($E$9:$E$80=U14)*$G$9:$G$80)+SUMPRODUCT(($O$9:$O$80="B")*ISNUMBER($F$9:$F$80)*ISNUMBER($G$9:$G$80)*($H$9:$H$80=U14)*$F$9:$F$80)</f>
        <v>0</v>
      </c>
      <c r="AB14" s="12">
        <f>Z14-AA14</f>
        <v>0</v>
      </c>
      <c r="AC14" s="12">
        <f>W14*3+X14</f>
        <v>0</v>
      </c>
      <c r="AD14" s="12">
        <f>IF(COUNTIF($AC$11:$AC$14,AC14)=1,0,SUMPRODUCT(($O$9:$O$80="B")*ISNUMBER($F$9:$F$80)*ISNUMBER($G$9:$G$80)*((($E$9:$E$80=U14)*(((($H$9:$H$80=$U$11)*($AC$11=AC14))+(($H$9:$H$80=$U$12)*($AC$12=AC14))+(($H$9:$H$80=$U$13)*($AC$13=AC14))+(($H$9:$H$80=$U$14)*($AC$14=AC14)) )&gt;0)*(($F$9:$F$80&gt;$G$9:$G$80)*3+($F$9:$F$80=$G$9:$G$80)))+(($H$9:$H$80=U14)*(((($E$9:$E$80=$U$11)*($AC$11=AC14))+(($E$9:$E$80=$U$12)*($AC$12=AC14))+(($E$9:$E$80=$U$13)*($AC$13=AC14))+(($E$9:$E$80=$U$14)*($AC$14=AC14)) )&gt;0)*(($G$9:$G$80&gt;$F$9:$F$80)*3+($F$9:$F$80=$G$9:$G$80))))))</f>
        <v>0</v>
      </c>
      <c r="AE14" s="12">
        <f>IF(COUNTIF($AC$11:$AC$14,AC14)=1,0,SUMPRODUCT(($O$9:$O$80="B")*ISNUMBER($F$9:$F$80)*ISNUMBER($G$9:$G$80)*((($E$9:$E$80=U14)*(((($H$9:$H$80=$U$11)*($AC$11=AC14))+(($H$9:$H$80=$U$12)*($AC$12=AC14))+(($H$9:$H$80=$U$13)*($AC$13=AC14))+(($H$9:$H$80=$U$14)*($AC$14=AC14)) )&gt;0)*($F$9:$F$80-$G$9:$G$80))+(($H$9:$H$80=U14)*(((($E$9:$E$80=$U$11)*($AC$11=AC14))+(($E$9:$E$80=$U$12)*($AC$12=AC14))+(($E$9:$E$80=$U$13)*($AC$13=AC14))+(($E$9:$E$80=$U$14)*($AC$14=AC14)) )&gt;0)*($G$9:$G$80-$F$9:$F$80)))))</f>
        <v>0</v>
      </c>
      <c r="AF14" s="12">
        <f>IF(COUNTIF($AC$11:$AC$14,AC14)=1,0,SUMPRODUCT(($O$9:$O$80="B")*ISNUMBER($F$9:$F$80)*ISNUMBER($G$9:$G$80)*((($E$9:$E$80=U14)*(((($H$9:$H$80=$U$11)*($AC$11=AC14))+(($H$9:$H$80=$U$12)*($AC$12=AC14))+(($H$9:$H$80=$U$13)*($AC$13=AC14))+(($H$9:$H$80=$U$14)*($AC$14=AC14)) )&gt;0)*$F$9:$F$80)+(($H$9:$H$80=U14)*(((($E$9:$E$80=$U$11)*($AC$11=AC14))+(($E$9:$E$80=$U$12)*($AC$12=AC14))+(($E$9:$E$80=$U$13)*($AC$13=AC14))+(($E$9:$E$80=$U$14)*($AC$14=AC14)) )&gt;0)*$G$9:$G$80))))</f>
        <v>0</v>
      </c>
      <c r="AG14" s="12">
        <f>1+SUMPRODUCT(--(($AC$11:$AC$14&gt;AC14)+(($AC$11:$AC$14=AC14)*($AD$11:$AD$14&gt;AD14))+(($AC$11:$AC$14=AC14)*($AD$11:$AD$14=AD14)*($AE$11:$AE$14&gt;AE14))+(($AC$11:$AC$14=AC14)*($AD$11:$AD$14=AD14)*($AE$11:$AE$14=AE14)*($AF$11:$AF$14&gt;AF14))+(($AC$11:$AC$14=AC14)*($AD$11:$AD$14=AD14)*($AE$11:$AE$14=AE14)*($AF$11:$AF$14=AF14)*($AB$11:$AB$14&gt;AB14))+(($AC$11:$AC$14=AC14)*($AD$11:$AD$14=AD14)*($AE$11:$AE$14=AE14)*($AF$11:$AF$14=AF14)*($AB$11:$AB$14=AB14)*($Z$11:$Z$14&gt;Z14))+(($AC$11:$AC$14=AC14)*($AD$11:$AD$14=AD14)*($AE$11:$AE$14=AE14)*($AF$11:$AF$14=AF14)*($AB$11:$AB$14=AB14)*($Z$11:$Z$14=Z14)*($U$11:$U$14&lt;U14))))</f>
        <v>4</v>
      </c>
      <c r="AO14" s="11" t="s">
        <v>106</v>
      </c>
      <c r="AP14" s="11" t="s">
        <v>30</v>
      </c>
      <c r="AQ14" s="11" t="s">
        <v>32</v>
      </c>
      <c r="AR14" s="11" t="s">
        <v>36</v>
      </c>
      <c r="AS14" s="11" t="s">
        <v>55</v>
      </c>
      <c r="AT14" s="11" t="s">
        <v>28</v>
      </c>
      <c r="AU14" s="11" t="s">
        <v>34</v>
      </c>
      <c r="AV14" s="11" t="s">
        <v>35</v>
      </c>
      <c r="AW14" s="11" t="s">
        <v>50</v>
      </c>
      <c r="AX14" s="11" t="str">
        <f>IF(COUNTIF($B$152:$B$159,"L")&gt;0,"L","")</f>
        <v>L</v>
      </c>
      <c r="BT14" s="2">
        <f>5</f>
        <v>5</v>
      </c>
      <c r="BU14" s="2" t="str">
        <f>INDEX($AH$2:$AH$13,MATCH(5,$AM$2:$AM$13,0))</f>
        <v>C</v>
      </c>
      <c r="BV14" s="2" t="str">
        <f>INDEX($AI$2:$AI$13,MATCH(5,$AM$2:$AM$13,0))</f>
        <v>Haití</v>
      </c>
      <c r="BW14" s="2">
        <f>INDEX($AJ$2:$AJ$13,MATCH(5,$AM$2:$AM$13,0))</f>
        <v>0</v>
      </c>
      <c r="BX14" s="2">
        <f>INDEX($AK$2:$AK$13,MATCH(5,$AM$2:$AM$13,0))</f>
        <v>0</v>
      </c>
      <c r="BY14" s="2">
        <f>INDEX($AL$2:$AL$13,MATCH(5,$AM$2:$AM$13,0))</f>
        <v>0</v>
      </c>
    </row>
    <row r="15" spans="1:77" x14ac:dyDescent="0.25">
      <c r="A15" s="2" t="str">
        <f t="shared" si="2"/>
        <v>sábado</v>
      </c>
      <c r="B15" s="14">
        <f t="shared" si="3"/>
        <v>46186.791666666664</v>
      </c>
      <c r="C15" s="15">
        <f t="shared" si="4"/>
        <v>46186.791666666664</v>
      </c>
      <c r="D15" s="2" t="s">
        <v>81</v>
      </c>
      <c r="E15" s="2" t="s">
        <v>107</v>
      </c>
      <c r="F15" s="13"/>
      <c r="G15" s="13"/>
      <c r="H15" s="2" t="s">
        <v>108</v>
      </c>
      <c r="I15" s="2">
        <v>5</v>
      </c>
      <c r="J15" s="7" t="s">
        <v>109</v>
      </c>
      <c r="K15" s="23"/>
      <c r="L15" s="24"/>
      <c r="M15" s="25"/>
      <c r="N15" s="8">
        <f t="shared" si="5"/>
        <v>46186.791666666664</v>
      </c>
      <c r="O15" s="9" t="s">
        <v>32</v>
      </c>
      <c r="P15" s="16">
        <v>46186.875</v>
      </c>
      <c r="AO15" s="11" t="s">
        <v>110</v>
      </c>
      <c r="AP15" s="11" t="s">
        <v>30</v>
      </c>
      <c r="AQ15" s="11" t="s">
        <v>32</v>
      </c>
      <c r="AR15" s="11" t="s">
        <v>36</v>
      </c>
      <c r="AS15" s="11" t="s">
        <v>50</v>
      </c>
      <c r="AT15" s="11" t="s">
        <v>28</v>
      </c>
      <c r="AU15" s="11" t="s">
        <v>34</v>
      </c>
      <c r="AV15" s="11" t="s">
        <v>35</v>
      </c>
      <c r="AW15" s="11" t="s">
        <v>60</v>
      </c>
      <c r="BT15" s="2">
        <f>6</f>
        <v>6</v>
      </c>
      <c r="BU15" s="2" t="str">
        <f>INDEX($AH$2:$AH$13,MATCH(6,$AM$2:$AM$13,0))</f>
        <v>L</v>
      </c>
      <c r="BV15" s="2" t="str">
        <f>INDEX($AI$2:$AI$13,MATCH(6,$AM$2:$AM$13,0))</f>
        <v>Inglaterra</v>
      </c>
      <c r="BW15" s="2">
        <f>INDEX($AJ$2:$AJ$13,MATCH(6,$AM$2:$AM$13,0))</f>
        <v>0</v>
      </c>
      <c r="BX15" s="2">
        <f>INDEX($AK$2:$AK$13,MATCH(6,$AM$2:$AM$13,0))</f>
        <v>0</v>
      </c>
      <c r="BY15" s="2">
        <f>INDEX($AL$2:$AL$13,MATCH(6,$AM$2:$AM$13,0))</f>
        <v>0</v>
      </c>
    </row>
    <row r="16" spans="1:77" x14ac:dyDescent="0.25">
      <c r="A16" s="2" t="str">
        <f t="shared" si="2"/>
        <v>sábado</v>
      </c>
      <c r="B16" s="14">
        <f t="shared" si="3"/>
        <v>46186.915972222218</v>
      </c>
      <c r="C16" s="15">
        <f t="shared" si="4"/>
        <v>46186.915972222218</v>
      </c>
      <c r="D16" s="2" t="s">
        <v>94</v>
      </c>
      <c r="E16" s="2" t="s">
        <v>111</v>
      </c>
      <c r="F16" s="13"/>
      <c r="G16" s="13"/>
      <c r="H16" s="2" t="s">
        <v>112</v>
      </c>
      <c r="I16" s="2">
        <v>6</v>
      </c>
      <c r="J16" s="7" t="s">
        <v>113</v>
      </c>
      <c r="K16" s="23"/>
      <c r="L16" s="24"/>
      <c r="M16" s="25"/>
      <c r="N16" s="8">
        <f t="shared" si="5"/>
        <v>46186.915972222218</v>
      </c>
      <c r="O16" s="9" t="s">
        <v>30</v>
      </c>
      <c r="P16" s="16">
        <v>46186.999305555553</v>
      </c>
      <c r="AO16" s="11" t="s">
        <v>114</v>
      </c>
      <c r="AP16" s="11" t="s">
        <v>30</v>
      </c>
      <c r="AQ16" s="11" t="s">
        <v>32</v>
      </c>
      <c r="AR16" s="11" t="s">
        <v>36</v>
      </c>
      <c r="AS16" s="11" t="s">
        <v>55</v>
      </c>
      <c r="AT16" s="11" t="s">
        <v>28</v>
      </c>
      <c r="AU16" s="11" t="s">
        <v>34</v>
      </c>
      <c r="AV16" s="11" t="s">
        <v>35</v>
      </c>
      <c r="AW16" s="11" t="s">
        <v>60</v>
      </c>
      <c r="BD16" s="28" t="s">
        <v>94</v>
      </c>
      <c r="BE16" s="29"/>
      <c r="BF16" s="29"/>
      <c r="BG16" s="29"/>
      <c r="BH16" s="30"/>
      <c r="BI16" s="28" t="s">
        <v>115</v>
      </c>
      <c r="BJ16" s="29"/>
      <c r="BK16" s="29"/>
      <c r="BL16" s="29"/>
      <c r="BM16" s="30"/>
      <c r="BN16" s="28" t="s">
        <v>116</v>
      </c>
      <c r="BO16" s="29"/>
      <c r="BP16" s="29"/>
      <c r="BQ16" s="29"/>
      <c r="BR16" s="30"/>
      <c r="BT16" s="2">
        <f>7</f>
        <v>7</v>
      </c>
      <c r="BU16" s="2" t="str">
        <f>INDEX($AH$2:$AH$13,MATCH(7,$AM$2:$AM$13,0))</f>
        <v>G</v>
      </c>
      <c r="BV16" s="2" t="str">
        <f>INDEX($AI$2:$AI$13,MATCH(7,$AM$2:$AM$13,0))</f>
        <v>Irán</v>
      </c>
      <c r="BW16" s="2">
        <f>INDEX($AJ$2:$AJ$13,MATCH(7,$AM$2:$AM$13,0))</f>
        <v>0</v>
      </c>
      <c r="BX16" s="2">
        <f>INDEX($AK$2:$AK$13,MATCH(7,$AM$2:$AM$13,0))</f>
        <v>0</v>
      </c>
      <c r="BY16" s="2">
        <f>INDEX($AL$2:$AL$13,MATCH(7,$AM$2:$AM$13,0))</f>
        <v>0</v>
      </c>
    </row>
    <row r="17" spans="1:82" x14ac:dyDescent="0.25">
      <c r="A17" s="2" t="str">
        <f t="shared" si="2"/>
        <v>domingo</v>
      </c>
      <c r="B17" s="14">
        <f t="shared" si="3"/>
        <v>46187.458333333321</v>
      </c>
      <c r="C17" s="15">
        <f t="shared" si="4"/>
        <v>46187.458333333321</v>
      </c>
      <c r="D17" s="2" t="s">
        <v>115</v>
      </c>
      <c r="E17" s="2" t="s">
        <v>117</v>
      </c>
      <c r="F17" s="13"/>
      <c r="G17" s="13"/>
      <c r="H17" s="2" t="s">
        <v>118</v>
      </c>
      <c r="I17" s="2">
        <v>10</v>
      </c>
      <c r="J17" s="7" t="s">
        <v>119</v>
      </c>
      <c r="K17" s="23"/>
      <c r="L17" s="24"/>
      <c r="M17" s="25"/>
      <c r="N17" s="8">
        <f t="shared" si="5"/>
        <v>46187.458333333321</v>
      </c>
      <c r="O17" s="9" t="s">
        <v>36</v>
      </c>
      <c r="P17" s="16">
        <v>46187.541666666657</v>
      </c>
      <c r="U17" s="12" t="s">
        <v>4</v>
      </c>
      <c r="V17" s="12" t="s">
        <v>39</v>
      </c>
      <c r="W17" s="12" t="s">
        <v>31</v>
      </c>
      <c r="X17" s="12" t="s">
        <v>36</v>
      </c>
      <c r="Y17" s="12" t="s">
        <v>40</v>
      </c>
      <c r="Z17" s="12" t="s">
        <v>7</v>
      </c>
      <c r="AA17" s="12" t="s">
        <v>41</v>
      </c>
      <c r="AB17" s="12" t="s">
        <v>6</v>
      </c>
      <c r="AC17" s="12" t="s">
        <v>5</v>
      </c>
      <c r="AD17" s="12" t="s">
        <v>42</v>
      </c>
      <c r="AE17" s="12" t="s">
        <v>43</v>
      </c>
      <c r="AF17" s="12" t="s">
        <v>44</v>
      </c>
      <c r="AG17" s="12" t="s">
        <v>8</v>
      </c>
      <c r="AO17" s="11" t="s">
        <v>120</v>
      </c>
      <c r="AP17" s="11" t="s">
        <v>30</v>
      </c>
      <c r="AQ17" s="11" t="s">
        <v>31</v>
      </c>
      <c r="AR17" s="11" t="s">
        <v>32</v>
      </c>
      <c r="AS17" s="11" t="s">
        <v>33</v>
      </c>
      <c r="AT17" s="11" t="s">
        <v>28</v>
      </c>
      <c r="AU17" s="11" t="s">
        <v>34</v>
      </c>
      <c r="AV17" s="11" t="s">
        <v>36</v>
      </c>
      <c r="AW17" s="11" t="s">
        <v>46</v>
      </c>
      <c r="BD17" s="21" t="s">
        <v>86</v>
      </c>
      <c r="BE17" s="21" t="s">
        <v>4</v>
      </c>
      <c r="BF17" s="21" t="s">
        <v>39</v>
      </c>
      <c r="BG17" s="21" t="s">
        <v>6</v>
      </c>
      <c r="BH17" s="21" t="s">
        <v>5</v>
      </c>
      <c r="BI17" s="21" t="s">
        <v>86</v>
      </c>
      <c r="BJ17" s="21" t="s">
        <v>4</v>
      </c>
      <c r="BK17" s="21" t="s">
        <v>39</v>
      </c>
      <c r="BL17" s="21" t="s">
        <v>6</v>
      </c>
      <c r="BM17" s="21" t="s">
        <v>5</v>
      </c>
      <c r="BN17" s="21" t="s">
        <v>86</v>
      </c>
      <c r="BO17" s="21" t="s">
        <v>4</v>
      </c>
      <c r="BP17" s="21" t="s">
        <v>39</v>
      </c>
      <c r="BQ17" s="21" t="s">
        <v>6</v>
      </c>
      <c r="BR17" s="21" t="s">
        <v>5</v>
      </c>
      <c r="BT17" s="2">
        <f>8</f>
        <v>8</v>
      </c>
      <c r="BU17" s="2" t="str">
        <f>INDEX($AH$2:$AH$13,MATCH(8,$AM$2:$AM$13,0))</f>
        <v>I</v>
      </c>
      <c r="BV17" s="2" t="str">
        <f>INDEX($AI$2:$AI$13,MATCH(8,$AM$2:$AM$13,0))</f>
        <v>Noruega</v>
      </c>
      <c r="BW17" s="2">
        <f>INDEX($AJ$2:$AJ$13,MATCH(8,$AM$2:$AM$13,0))</f>
        <v>0</v>
      </c>
      <c r="BX17" s="2">
        <f>INDEX($AK$2:$AK$13,MATCH(8,$AM$2:$AM$13,0))</f>
        <v>0</v>
      </c>
      <c r="BY17" s="2">
        <f>INDEX($AL$2:$AL$13,MATCH(8,$AM$2:$AM$13,0))</f>
        <v>0</v>
      </c>
    </row>
    <row r="18" spans="1:82" x14ac:dyDescent="0.25">
      <c r="A18" s="2" t="str">
        <f t="shared" si="2"/>
        <v>domingo</v>
      </c>
      <c r="B18" s="14">
        <f t="shared" si="3"/>
        <v>46187.583333333321</v>
      </c>
      <c r="C18" s="15">
        <f t="shared" si="4"/>
        <v>46187.583333333321</v>
      </c>
      <c r="D18" s="2" t="s">
        <v>116</v>
      </c>
      <c r="E18" s="2" t="s">
        <v>121</v>
      </c>
      <c r="F18" s="13"/>
      <c r="G18" s="13"/>
      <c r="H18" s="2" t="s">
        <v>122</v>
      </c>
      <c r="I18" s="2">
        <v>11</v>
      </c>
      <c r="J18" s="7" t="s">
        <v>123</v>
      </c>
      <c r="K18" s="23"/>
      <c r="L18" s="24"/>
      <c r="M18" s="25"/>
      <c r="N18" s="8">
        <f t="shared" si="5"/>
        <v>46187.583333333321</v>
      </c>
      <c r="O18" s="9" t="s">
        <v>35</v>
      </c>
      <c r="P18" s="16">
        <v>46187.666666666657</v>
      </c>
      <c r="U18" s="12" t="s">
        <v>103</v>
      </c>
      <c r="V18" s="12">
        <f>SUMPRODUCT(($O$9:$O$80="C")*((($E$9:$E$80=U18)+($H$9:$H$80=U18))&gt;0)*ISNUMBER($F$9:$F$80)*ISNUMBER($G$9:$G$80))</f>
        <v>0</v>
      </c>
      <c r="W18" s="12">
        <f>SUMPRODUCT(($O$9:$O$80="C")*ISNUMBER($F$9:$F$80)*ISNUMBER($G$9:$G$80)*((($E$9:$E$80=U18)*($F$9:$F$80&gt;$G$9:$G$80))+(($H$9:$H$80=U18)*($G$9:$G$80&gt;$F$9:$F$80))))</f>
        <v>0</v>
      </c>
      <c r="X18" s="12">
        <f>SUMPRODUCT(($O$9:$O$80="C")*ISNUMBER($F$9:$F$80)*ISNUMBER($G$9:$G$80)*((($E$9:$E$80=U18)+($H$9:$H$80=U18))&gt;0)*($F$9:$F$80=$G$9:$G$80))</f>
        <v>0</v>
      </c>
      <c r="Y18" s="12">
        <f>V18-W18-X18</f>
        <v>0</v>
      </c>
      <c r="Z18" s="12">
        <f>SUMPRODUCT(($O$9:$O$80="C")*ISNUMBER($F$9:$F$80)*ISNUMBER($G$9:$G$80)*($E$9:$E$80=U18)*$F$9:$F$80)+SUMPRODUCT(($O$9:$O$80="C")*ISNUMBER($F$9:$F$80)*ISNUMBER($G$9:$G$80)*($H$9:$H$80=U18)*$G$9:$G$80)</f>
        <v>0</v>
      </c>
      <c r="AA18" s="12">
        <f>SUMPRODUCT(($O$9:$O$80="C")*ISNUMBER($F$9:$F$80)*ISNUMBER($G$9:$G$80)*($E$9:$E$80=U18)*$G$9:$G$80)+SUMPRODUCT(($O$9:$O$80="C")*ISNUMBER($F$9:$F$80)*ISNUMBER($G$9:$G$80)*($H$9:$H$80=U18)*$F$9:$F$80)</f>
        <v>0</v>
      </c>
      <c r="AB18" s="12">
        <f>Z18-AA18</f>
        <v>0</v>
      </c>
      <c r="AC18" s="12">
        <f>W18*3+X18</f>
        <v>0</v>
      </c>
      <c r="AD18" s="12">
        <f>IF(COUNTIF($AC$18:$AC$21,AC18)=1,0,SUMPRODUCT(($O$9:$O$80="C")*ISNUMBER($F$9:$F$80)*ISNUMBER($G$9:$G$80)*((($E$9:$E$80=U18)*(((($H$9:$H$80=$U$18)*($AC$18=AC18))+(($H$9:$H$80=$U$19)*($AC$19=AC18))+(($H$9:$H$80=$U$20)*($AC$20=AC18))+(($H$9:$H$80=$U$21)*($AC$21=AC18)) )&gt;0)*(($F$9:$F$80&gt;$G$9:$G$80)*3+($F$9:$F$80=$G$9:$G$80)))+(($H$9:$H$80=U18)*(((($E$9:$E$80=$U$18)*($AC$18=AC18))+(($E$9:$E$80=$U$19)*($AC$19=AC18))+(($E$9:$E$80=$U$20)*($AC$20=AC18))+(($E$9:$E$80=$U$21)*($AC$21=AC18)) )&gt;0)*(($G$9:$G$80&gt;$F$9:$F$80)*3+($F$9:$F$80=$G$9:$G$80))))))</f>
        <v>0</v>
      </c>
      <c r="AE18" s="12">
        <f>IF(COUNTIF($AC$18:$AC$21,AC18)=1,0,SUMPRODUCT(($O$9:$O$80="C")*ISNUMBER($F$9:$F$80)*ISNUMBER($G$9:$G$80)*((($E$9:$E$80=U18)*(((($H$9:$H$80=$U$18)*($AC$18=AC18))+(($H$9:$H$80=$U$19)*($AC$19=AC18))+(($H$9:$H$80=$U$20)*($AC$20=AC18))+(($H$9:$H$80=$U$21)*($AC$21=AC18)) )&gt;0)*($F$9:$F$80-$G$9:$G$80))+(($H$9:$H$80=U18)*(((($E$9:$E$80=$U$18)*($AC$18=AC18))+(($E$9:$E$80=$U$19)*($AC$19=AC18))+(($E$9:$E$80=$U$20)*($AC$20=AC18))+(($E$9:$E$80=$U$21)*($AC$21=AC18)) )&gt;0)*($G$9:$G$80-$F$9:$F$80)))))</f>
        <v>0</v>
      </c>
      <c r="AF18" s="12">
        <f>IF(COUNTIF($AC$18:$AC$21,AC18)=1,0,SUMPRODUCT(($O$9:$O$80="C")*ISNUMBER($F$9:$F$80)*ISNUMBER($G$9:$G$80)*((($E$9:$E$80=U18)*(((($H$9:$H$80=$U$18)*($AC$18=AC18))+(($H$9:$H$80=$U$19)*($AC$19=AC18))+(($H$9:$H$80=$U$20)*($AC$20=AC18))+(($H$9:$H$80=$U$21)*($AC$21=AC18)) )&gt;0)*$F$9:$F$80)+(($H$9:$H$80=U18)*(((($E$9:$E$80=$U$18)*($AC$18=AC18))+(($E$9:$E$80=$U$19)*($AC$19=AC18))+(($E$9:$E$80=$U$20)*($AC$20=AC18))+(($E$9:$E$80=$U$21)*($AC$21=AC18)) )&gt;0)*$G$9:$G$80))))</f>
        <v>0</v>
      </c>
      <c r="AG18" s="12">
        <f>1+SUMPRODUCT(--(($AC$18:$AC$21&gt;AC18)+(($AC$18:$AC$21=AC18)*($AD$18:$AD$21&gt;AD18))+(($AC$18:$AC$21=AC18)*($AD$18:$AD$21=AD18)*($AE$18:$AE$21&gt;AE18))+(($AC$18:$AC$21=AC18)*($AD$18:$AD$21=AD18)*($AE$18:$AE$21=AE18)*($AF$18:$AF$21&gt;AF18))+(($AC$18:$AC$21=AC18)*($AD$18:$AD$21=AD18)*($AE$18:$AE$21=AE18)*($AF$18:$AF$21=AF18)*($AB$18:$AB$21&gt;AB18))+(($AC$18:$AC$21=AC18)*($AD$18:$AD$21=AD18)*($AE$18:$AE$21=AE18)*($AF$18:$AF$21=AF18)*($AB$18:$AB$21=AB18)*($Z$18:$Z$21&gt;Z18))+(($AC$18:$AC$21=AC18)*($AD$18:$AD$21=AD18)*($AE$18:$AE$21=AE18)*($AF$18:$AF$21=AF18)*($AB$18:$AB$21=AB18)*($Z$18:$Z$21=Z18)*($U$18:$U$21&lt;U18))))</f>
        <v>1</v>
      </c>
      <c r="AO18" s="11" t="s">
        <v>124</v>
      </c>
      <c r="AP18" s="11" t="s">
        <v>30</v>
      </c>
      <c r="AQ18" s="11" t="s">
        <v>31</v>
      </c>
      <c r="AR18" s="11" t="s">
        <v>32</v>
      </c>
      <c r="AS18" s="11" t="s">
        <v>33</v>
      </c>
      <c r="AT18" s="11" t="s">
        <v>28</v>
      </c>
      <c r="AU18" s="11" t="s">
        <v>34</v>
      </c>
      <c r="AV18" s="11" t="s">
        <v>50</v>
      </c>
      <c r="AW18" s="11" t="s">
        <v>36</v>
      </c>
      <c r="BD18" s="3">
        <v>1</v>
      </c>
      <c r="BE18" s="3" t="str">
        <f>INDEX($U$25:$U$28,MATCH(1,$AG$25:$AG$28,0))</f>
        <v>Australia</v>
      </c>
      <c r="BF18" s="3">
        <f>INDEX($V$25:$V$28,MATCH(1,$AG$25:$AG$28,0))</f>
        <v>0</v>
      </c>
      <c r="BG18" s="3">
        <f>INDEX($AB$25:$AB$28,MATCH(1,$AG$25:$AG$28,0))</f>
        <v>0</v>
      </c>
      <c r="BH18" s="3">
        <f>INDEX($AC$25:$AC$28,MATCH(1,$AG$25:$AG$28,0))</f>
        <v>0</v>
      </c>
      <c r="BI18" s="4">
        <v>1</v>
      </c>
      <c r="BJ18" s="4" t="str">
        <f>INDEX($U$32:$U$35,MATCH(1,$AG$32:$AG$35,0))</f>
        <v>Alemania</v>
      </c>
      <c r="BK18" s="4">
        <f>INDEX($V$32:$V$35,MATCH(1,$AG$32:$AG$35,0))</f>
        <v>0</v>
      </c>
      <c r="BL18" s="4">
        <f>INDEX($AB$32:$AB$35,MATCH(1,$AG$32:$AG$35,0))</f>
        <v>0</v>
      </c>
      <c r="BM18" s="4">
        <f>INDEX($AC$32:$AC$35,MATCH(1,$AG$32:$AG$35,0))</f>
        <v>0</v>
      </c>
      <c r="BN18" s="5">
        <v>1</v>
      </c>
      <c r="BO18" s="5" t="str">
        <f>INDEX($U$39:$U$42,MATCH(1,$AG$39:$AG$42,0))</f>
        <v>Japón</v>
      </c>
      <c r="BP18" s="5">
        <f>INDEX($V$39:$V$42,MATCH(1,$AG$39:$AG$42,0))</f>
        <v>0</v>
      </c>
      <c r="BQ18" s="5">
        <f>INDEX($AB$39:$AB$42,MATCH(1,$AG$39:$AG$42,0))</f>
        <v>0</v>
      </c>
      <c r="BR18" s="5">
        <f>INDEX($AC$39:$AC$42,MATCH(1,$AG$39:$AG$42,0))</f>
        <v>0</v>
      </c>
      <c r="BT18" s="2">
        <f>9</f>
        <v>9</v>
      </c>
      <c r="BU18" s="2" t="str">
        <f>INDEX($AH$2:$AH$13,MATCH(9,$AM$2:$AM$13,0))</f>
        <v>D</v>
      </c>
      <c r="BV18" s="2" t="str">
        <f>INDEX($AI$2:$AI$13,MATCH(9,$AM$2:$AM$13,0))</f>
        <v>Paraguay</v>
      </c>
      <c r="BW18" s="2">
        <f>INDEX($AJ$2:$AJ$13,MATCH(9,$AM$2:$AM$13,0))</f>
        <v>0</v>
      </c>
      <c r="BX18" s="2">
        <f>INDEX($AK$2:$AK$13,MATCH(9,$AM$2:$AM$13,0))</f>
        <v>0</v>
      </c>
      <c r="BY18" s="2">
        <f>INDEX($AL$2:$AL$13,MATCH(9,$AM$2:$AM$13,0))</f>
        <v>0</v>
      </c>
    </row>
    <row r="19" spans="1:82" x14ac:dyDescent="0.25">
      <c r="A19" s="2" t="str">
        <f t="shared" si="2"/>
        <v>domingo</v>
      </c>
      <c r="B19" s="14">
        <f t="shared" si="3"/>
        <v>46187.708333333321</v>
      </c>
      <c r="C19" s="15">
        <f t="shared" si="4"/>
        <v>46187.708333333321</v>
      </c>
      <c r="D19" s="2" t="s">
        <v>115</v>
      </c>
      <c r="E19" s="2" t="s">
        <v>125</v>
      </c>
      <c r="F19" s="13"/>
      <c r="G19" s="13"/>
      <c r="H19" s="2" t="s">
        <v>76</v>
      </c>
      <c r="I19" s="2">
        <v>9</v>
      </c>
      <c r="J19" s="7" t="s">
        <v>126</v>
      </c>
      <c r="K19" s="23"/>
      <c r="L19" s="24"/>
      <c r="M19" s="25"/>
      <c r="N19" s="8">
        <f t="shared" si="5"/>
        <v>46187.708333333321</v>
      </c>
      <c r="O19" s="9" t="s">
        <v>36</v>
      </c>
      <c r="P19" s="16">
        <v>46187.791666666657</v>
      </c>
      <c r="U19" s="12" t="s">
        <v>104</v>
      </c>
      <c r="V19" s="12">
        <f>SUMPRODUCT(($O$9:$O$80="C")*((($E$9:$E$80=U19)+($H$9:$H$80=U19))&gt;0)*ISNUMBER($F$9:$F$80)*ISNUMBER($G$9:$G$80))</f>
        <v>0</v>
      </c>
      <c r="W19" s="12">
        <f>SUMPRODUCT(($O$9:$O$80="C")*ISNUMBER($F$9:$F$80)*ISNUMBER($G$9:$G$80)*((($E$9:$E$80=U19)*($F$9:$F$80&gt;$G$9:$G$80))+(($H$9:$H$80=U19)*($G$9:$G$80&gt;$F$9:$F$80))))</f>
        <v>0</v>
      </c>
      <c r="X19" s="12">
        <f>SUMPRODUCT(($O$9:$O$80="C")*ISNUMBER($F$9:$F$80)*ISNUMBER($G$9:$G$80)*((($E$9:$E$80=U19)+($H$9:$H$80=U19))&gt;0)*($F$9:$F$80=$G$9:$G$80))</f>
        <v>0</v>
      </c>
      <c r="Y19" s="12">
        <f>V19-W19-X19</f>
        <v>0</v>
      </c>
      <c r="Z19" s="12">
        <f>SUMPRODUCT(($O$9:$O$80="C")*ISNUMBER($F$9:$F$80)*ISNUMBER($G$9:$G$80)*($E$9:$E$80=U19)*$F$9:$F$80)+SUMPRODUCT(($O$9:$O$80="C")*ISNUMBER($F$9:$F$80)*ISNUMBER($G$9:$G$80)*($H$9:$H$80=U19)*$G$9:$G$80)</f>
        <v>0</v>
      </c>
      <c r="AA19" s="12">
        <f>SUMPRODUCT(($O$9:$O$80="C")*ISNUMBER($F$9:$F$80)*ISNUMBER($G$9:$G$80)*($E$9:$E$80=U19)*$G$9:$G$80)+SUMPRODUCT(($O$9:$O$80="C")*ISNUMBER($F$9:$F$80)*ISNUMBER($G$9:$G$80)*($H$9:$H$80=U19)*$F$9:$F$80)</f>
        <v>0</v>
      </c>
      <c r="AB19" s="12">
        <f>Z19-AA19</f>
        <v>0</v>
      </c>
      <c r="AC19" s="12">
        <f>W19*3+X19</f>
        <v>0</v>
      </c>
      <c r="AD19" s="12">
        <f>IF(COUNTIF($AC$18:$AC$21,AC19)=1,0,SUMPRODUCT(($O$9:$O$80="C")*ISNUMBER($F$9:$F$80)*ISNUMBER($G$9:$G$80)*((($E$9:$E$80=U19)*(((($H$9:$H$80=$U$18)*($AC$18=AC19))+(($H$9:$H$80=$U$19)*($AC$19=AC19))+(($H$9:$H$80=$U$20)*($AC$20=AC19))+(($H$9:$H$80=$U$21)*($AC$21=AC19)) )&gt;0)*(($F$9:$F$80&gt;$G$9:$G$80)*3+($F$9:$F$80=$G$9:$G$80)))+(($H$9:$H$80=U19)*(((($E$9:$E$80=$U$18)*($AC$18=AC19))+(($E$9:$E$80=$U$19)*($AC$19=AC19))+(($E$9:$E$80=$U$20)*($AC$20=AC19))+(($E$9:$E$80=$U$21)*($AC$21=AC19)) )&gt;0)*(($G$9:$G$80&gt;$F$9:$F$80)*3+($F$9:$F$80=$G$9:$G$80))))))</f>
        <v>0</v>
      </c>
      <c r="AE19" s="12">
        <f>IF(COUNTIF($AC$18:$AC$21,AC19)=1,0,SUMPRODUCT(($O$9:$O$80="C")*ISNUMBER($F$9:$F$80)*ISNUMBER($G$9:$G$80)*((($E$9:$E$80=U19)*(((($H$9:$H$80=$U$18)*($AC$18=AC19))+(($H$9:$H$80=$U$19)*($AC$19=AC19))+(($H$9:$H$80=$U$20)*($AC$20=AC19))+(($H$9:$H$80=$U$21)*($AC$21=AC19)) )&gt;0)*($F$9:$F$80-$G$9:$G$80))+(($H$9:$H$80=U19)*(((($E$9:$E$80=$U$18)*($AC$18=AC19))+(($E$9:$E$80=$U$19)*($AC$19=AC19))+(($E$9:$E$80=$U$20)*($AC$20=AC19))+(($E$9:$E$80=$U$21)*($AC$21=AC19)) )&gt;0)*($G$9:$G$80-$F$9:$F$80)))))</f>
        <v>0</v>
      </c>
      <c r="AF19" s="12">
        <f>IF(COUNTIF($AC$18:$AC$21,AC19)=1,0,SUMPRODUCT(($O$9:$O$80="C")*ISNUMBER($F$9:$F$80)*ISNUMBER($G$9:$G$80)*((($E$9:$E$80=U19)*(((($H$9:$H$80=$U$18)*($AC$18=AC19))+(($H$9:$H$80=$U$19)*($AC$19=AC19))+(($H$9:$H$80=$U$20)*($AC$20=AC19))+(($H$9:$H$80=$U$21)*($AC$21=AC19)) )&gt;0)*$F$9:$F$80)+(($H$9:$H$80=U19)*(((($E$9:$E$80=$U$18)*($AC$18=AC19))+(($E$9:$E$80=$U$19)*($AC$19=AC19))+(($E$9:$E$80=$U$20)*($AC$20=AC19))+(($E$9:$E$80=$U$21)*($AC$21=AC19)) )&gt;0)*$G$9:$G$80))))</f>
        <v>0</v>
      </c>
      <c r="AG19" s="12">
        <f>1+SUMPRODUCT(--(($AC$18:$AC$21&gt;AC19)+(($AC$18:$AC$21=AC19)*($AD$18:$AD$21&gt;AD19))+(($AC$18:$AC$21=AC19)*($AD$18:$AD$21=AD19)*($AE$18:$AE$21&gt;AE19))+(($AC$18:$AC$21=AC19)*($AD$18:$AD$21=AD19)*($AE$18:$AE$21=AE19)*($AF$18:$AF$21&gt;AF19))+(($AC$18:$AC$21=AC19)*($AD$18:$AD$21=AD19)*($AE$18:$AE$21=AE19)*($AF$18:$AF$21=AF19)*($AB$18:$AB$21&gt;AB19))+(($AC$18:$AC$21=AC19)*($AD$18:$AD$21=AD19)*($AE$18:$AE$21=AE19)*($AF$18:$AF$21=AF19)*($AB$18:$AB$21=AB19)*($Z$18:$Z$21&gt;Z19))+(($AC$18:$AC$21=AC19)*($AD$18:$AD$21=AD19)*($AE$18:$AE$21=AE19)*($AF$18:$AF$21=AF19)*($AB$18:$AB$21=AB19)*($Z$18:$Z$21=Z19)*($U$18:$U$21&lt;U19))))</f>
        <v>4</v>
      </c>
      <c r="AO19" s="11" t="s">
        <v>127</v>
      </c>
      <c r="AP19" s="11" t="s">
        <v>30</v>
      </c>
      <c r="AQ19" s="11" t="s">
        <v>32</v>
      </c>
      <c r="AR19" s="11" t="s">
        <v>33</v>
      </c>
      <c r="AS19" s="11" t="s">
        <v>55</v>
      </c>
      <c r="AT19" s="11" t="s">
        <v>28</v>
      </c>
      <c r="AU19" s="11" t="s">
        <v>34</v>
      </c>
      <c r="AV19" s="11" t="s">
        <v>31</v>
      </c>
      <c r="AW19" s="11" t="s">
        <v>36</v>
      </c>
      <c r="BD19" s="3">
        <v>2</v>
      </c>
      <c r="BE19" s="3" t="str">
        <f>INDEX($U$25:$U$28,MATCH(2,$AG$25:$AG$28,0))</f>
        <v>Estados Unidos</v>
      </c>
      <c r="BF19" s="3">
        <f>INDEX($V$25:$V$28,MATCH(2,$AG$25:$AG$28,0))</f>
        <v>0</v>
      </c>
      <c r="BG19" s="3">
        <f>INDEX($AB$25:$AB$28,MATCH(2,$AG$25:$AG$28,0))</f>
        <v>0</v>
      </c>
      <c r="BH19" s="3">
        <f>INDEX($AC$25:$AC$28,MATCH(2,$AG$25:$AG$28,0))</f>
        <v>0</v>
      </c>
      <c r="BI19" s="4">
        <v>2</v>
      </c>
      <c r="BJ19" s="4" t="str">
        <f>INDEX($U$32:$U$35,MATCH(2,$AG$32:$AG$35,0))</f>
        <v>Costa de Marfil</v>
      </c>
      <c r="BK19" s="4">
        <f>INDEX($V$32:$V$35,MATCH(2,$AG$32:$AG$35,0))</f>
        <v>0</v>
      </c>
      <c r="BL19" s="4">
        <f>INDEX($AB$32:$AB$35,MATCH(2,$AG$32:$AG$35,0))</f>
        <v>0</v>
      </c>
      <c r="BM19" s="4">
        <f>INDEX($AC$32:$AC$35,MATCH(2,$AG$32:$AG$35,0))</f>
        <v>0</v>
      </c>
      <c r="BN19" s="5">
        <v>2</v>
      </c>
      <c r="BO19" s="5" t="str">
        <f>INDEX($U$39:$U$42,MATCH(2,$AG$39:$AG$42,0))</f>
        <v>Países Bajos</v>
      </c>
      <c r="BP19" s="5">
        <f>INDEX($V$39:$V$42,MATCH(2,$AG$39:$AG$42,0))</f>
        <v>0</v>
      </c>
      <c r="BQ19" s="5">
        <f>INDEX($AB$39:$AB$42,MATCH(2,$AG$39:$AG$42,0))</f>
        <v>0</v>
      </c>
      <c r="BR19" s="5">
        <f>INDEX($AC$39:$AC$42,MATCH(2,$AG$39:$AG$42,0))</f>
        <v>0</v>
      </c>
      <c r="BT19" s="2">
        <f>10</f>
        <v>10</v>
      </c>
      <c r="BU19" s="2" t="str">
        <f>INDEX($AH$2:$AH$13,MATCH(10,$AM$2:$AM$13,0))</f>
        <v>K</v>
      </c>
      <c r="BV19" s="2" t="str">
        <f>INDEX($AI$2:$AI$13,MATCH(10,$AM$2:$AM$13,0))</f>
        <v>RD Congo</v>
      </c>
      <c r="BW19" s="2">
        <f>INDEX($AJ$2:$AJ$13,MATCH(10,$AM$2:$AM$13,0))</f>
        <v>0</v>
      </c>
      <c r="BX19" s="2">
        <f>INDEX($AK$2:$AK$13,MATCH(10,$AM$2:$AM$13,0))</f>
        <v>0</v>
      </c>
      <c r="BY19" s="2">
        <f>INDEX($AL$2:$AL$13,MATCH(10,$AM$2:$AM$13,0))</f>
        <v>0</v>
      </c>
    </row>
    <row r="20" spans="1:82" x14ac:dyDescent="0.25">
      <c r="A20" s="2" t="str">
        <f t="shared" si="2"/>
        <v>domingo</v>
      </c>
      <c r="B20" s="14">
        <f t="shared" si="3"/>
        <v>46187.833333333321</v>
      </c>
      <c r="C20" s="15">
        <f t="shared" si="4"/>
        <v>46187.833333333321</v>
      </c>
      <c r="D20" s="2" t="s">
        <v>116</v>
      </c>
      <c r="E20" s="2" t="s">
        <v>128</v>
      </c>
      <c r="F20" s="13"/>
      <c r="G20" s="13"/>
      <c r="H20" s="2" t="s">
        <v>129</v>
      </c>
      <c r="I20" s="2">
        <v>12</v>
      </c>
      <c r="J20" s="7" t="s">
        <v>130</v>
      </c>
      <c r="K20" s="23"/>
      <c r="L20" s="24"/>
      <c r="M20" s="25"/>
      <c r="N20" s="8">
        <f t="shared" si="5"/>
        <v>46187.833333333321</v>
      </c>
      <c r="O20" s="9" t="s">
        <v>35</v>
      </c>
      <c r="P20" s="16">
        <v>46187.916666666657</v>
      </c>
      <c r="U20" s="12" t="s">
        <v>107</v>
      </c>
      <c r="V20" s="12">
        <f>SUMPRODUCT(($O$9:$O$80="C")*((($E$9:$E$80=U20)+($H$9:$H$80=U20))&gt;0)*ISNUMBER($F$9:$F$80)*ISNUMBER($G$9:$G$80))</f>
        <v>0</v>
      </c>
      <c r="W20" s="12">
        <f>SUMPRODUCT(($O$9:$O$80="C")*ISNUMBER($F$9:$F$80)*ISNUMBER($G$9:$G$80)*((($E$9:$E$80=U20)*($F$9:$F$80&gt;$G$9:$G$80))+(($H$9:$H$80=U20)*($G$9:$G$80&gt;$F$9:$F$80))))</f>
        <v>0</v>
      </c>
      <c r="X20" s="12">
        <f>SUMPRODUCT(($O$9:$O$80="C")*ISNUMBER($F$9:$F$80)*ISNUMBER($G$9:$G$80)*((($E$9:$E$80=U20)+($H$9:$H$80=U20))&gt;0)*($F$9:$F$80=$G$9:$G$80))</f>
        <v>0</v>
      </c>
      <c r="Y20" s="12">
        <f>V20-W20-X20</f>
        <v>0</v>
      </c>
      <c r="Z20" s="12">
        <f>SUMPRODUCT(($O$9:$O$80="C")*ISNUMBER($F$9:$F$80)*ISNUMBER($G$9:$G$80)*($E$9:$E$80=U20)*$F$9:$F$80)+SUMPRODUCT(($O$9:$O$80="C")*ISNUMBER($F$9:$F$80)*ISNUMBER($G$9:$G$80)*($H$9:$H$80=U20)*$G$9:$G$80)</f>
        <v>0</v>
      </c>
      <c r="AA20" s="12">
        <f>SUMPRODUCT(($O$9:$O$80="C")*ISNUMBER($F$9:$F$80)*ISNUMBER($G$9:$G$80)*($E$9:$E$80=U20)*$G$9:$G$80)+SUMPRODUCT(($O$9:$O$80="C")*ISNUMBER($F$9:$F$80)*ISNUMBER($G$9:$G$80)*($H$9:$H$80=U20)*$F$9:$F$80)</f>
        <v>0</v>
      </c>
      <c r="AB20" s="12">
        <f>Z20-AA20</f>
        <v>0</v>
      </c>
      <c r="AC20" s="12">
        <f>W20*3+X20</f>
        <v>0</v>
      </c>
      <c r="AD20" s="12">
        <f>IF(COUNTIF($AC$18:$AC$21,AC20)=1,0,SUMPRODUCT(($O$9:$O$80="C")*ISNUMBER($F$9:$F$80)*ISNUMBER($G$9:$G$80)*((($E$9:$E$80=U20)*(((($H$9:$H$80=$U$18)*($AC$18=AC20))+(($H$9:$H$80=$U$19)*($AC$19=AC20))+(($H$9:$H$80=$U$20)*($AC$20=AC20))+(($H$9:$H$80=$U$21)*($AC$21=AC20)) )&gt;0)*(($F$9:$F$80&gt;$G$9:$G$80)*3+($F$9:$F$80=$G$9:$G$80)))+(($H$9:$H$80=U20)*(((($E$9:$E$80=$U$18)*($AC$18=AC20))+(($E$9:$E$80=$U$19)*($AC$19=AC20))+(($E$9:$E$80=$U$20)*($AC$20=AC20))+(($E$9:$E$80=$U$21)*($AC$21=AC20)) )&gt;0)*(($G$9:$G$80&gt;$F$9:$F$80)*3+($F$9:$F$80=$G$9:$G$80))))))</f>
        <v>0</v>
      </c>
      <c r="AE20" s="12">
        <f>IF(COUNTIF($AC$18:$AC$21,AC20)=1,0,SUMPRODUCT(($O$9:$O$80="C")*ISNUMBER($F$9:$F$80)*ISNUMBER($G$9:$G$80)*((($E$9:$E$80=U20)*(((($H$9:$H$80=$U$18)*($AC$18=AC20))+(($H$9:$H$80=$U$19)*($AC$19=AC20))+(($H$9:$H$80=$U$20)*($AC$20=AC20))+(($H$9:$H$80=$U$21)*($AC$21=AC20)) )&gt;0)*($F$9:$F$80-$G$9:$G$80))+(($H$9:$H$80=U20)*(((($E$9:$E$80=$U$18)*($AC$18=AC20))+(($E$9:$E$80=$U$19)*($AC$19=AC20))+(($E$9:$E$80=$U$20)*($AC$20=AC20))+(($E$9:$E$80=$U$21)*($AC$21=AC20)) )&gt;0)*($G$9:$G$80-$F$9:$F$80)))))</f>
        <v>0</v>
      </c>
      <c r="AF20" s="12">
        <f>IF(COUNTIF($AC$18:$AC$21,AC20)=1,0,SUMPRODUCT(($O$9:$O$80="C")*ISNUMBER($F$9:$F$80)*ISNUMBER($G$9:$G$80)*((($E$9:$E$80=U20)*(((($H$9:$H$80=$U$18)*($AC$18=AC20))+(($H$9:$H$80=$U$19)*($AC$19=AC20))+(($H$9:$H$80=$U$20)*($AC$20=AC20))+(($H$9:$H$80=$U$21)*($AC$21=AC20)) )&gt;0)*$F$9:$F$80)+(($H$9:$H$80=U20)*(((($E$9:$E$80=$U$18)*($AC$18=AC20))+(($E$9:$E$80=$U$19)*($AC$19=AC20))+(($E$9:$E$80=$U$20)*($AC$20=AC20))+(($E$9:$E$80=$U$21)*($AC$21=AC20)) )&gt;0)*$G$9:$G$80))))</f>
        <v>0</v>
      </c>
      <c r="AG20" s="12">
        <f>1+SUMPRODUCT(--(($AC$18:$AC$21&gt;AC20)+(($AC$18:$AC$21=AC20)*($AD$18:$AD$21&gt;AD20))+(($AC$18:$AC$21=AC20)*($AD$18:$AD$21=AD20)*($AE$18:$AE$21&gt;AE20))+(($AC$18:$AC$21=AC20)*($AD$18:$AD$21=AD20)*($AE$18:$AE$21=AE20)*($AF$18:$AF$21&gt;AF20))+(($AC$18:$AC$21=AC20)*($AD$18:$AD$21=AD20)*($AE$18:$AE$21=AE20)*($AF$18:$AF$21=AF20)*($AB$18:$AB$21&gt;AB20))+(($AC$18:$AC$21=AC20)*($AD$18:$AD$21=AD20)*($AE$18:$AE$21=AE20)*($AF$18:$AF$21=AF20)*($AB$18:$AB$21=AB20)*($Z$18:$Z$21&gt;Z20))+(($AC$18:$AC$21=AC20)*($AD$18:$AD$21=AD20)*($AE$18:$AE$21=AE20)*($AF$18:$AF$21=AF20)*($AB$18:$AB$21=AB20)*($Z$18:$Z$21=Z20)*($U$18:$U$21&lt;U20))))</f>
        <v>3</v>
      </c>
      <c r="AO20" s="11" t="s">
        <v>131</v>
      </c>
      <c r="AP20" s="11" t="s">
        <v>30</v>
      </c>
      <c r="AQ20" s="11" t="s">
        <v>31</v>
      </c>
      <c r="AR20" s="11" t="s">
        <v>32</v>
      </c>
      <c r="AS20" s="11" t="s">
        <v>33</v>
      </c>
      <c r="AT20" s="11" t="s">
        <v>28</v>
      </c>
      <c r="AU20" s="11" t="s">
        <v>34</v>
      </c>
      <c r="AV20" s="11" t="s">
        <v>36</v>
      </c>
      <c r="AW20" s="11" t="s">
        <v>60</v>
      </c>
      <c r="BD20" s="3">
        <v>3</v>
      </c>
      <c r="BE20" s="3" t="str">
        <f>INDEX($U$25:$U$28,MATCH(3,$AG$25:$AG$28,0))</f>
        <v>Paraguay</v>
      </c>
      <c r="BF20" s="3">
        <f>INDEX($V$25:$V$28,MATCH(3,$AG$25:$AG$28,0))</f>
        <v>0</v>
      </c>
      <c r="BG20" s="3">
        <f>INDEX($AB$25:$AB$28,MATCH(3,$AG$25:$AG$28,0))</f>
        <v>0</v>
      </c>
      <c r="BH20" s="3">
        <f>INDEX($AC$25:$AC$28,MATCH(3,$AG$25:$AG$28,0))</f>
        <v>0</v>
      </c>
      <c r="BI20" s="4">
        <v>3</v>
      </c>
      <c r="BJ20" s="4" t="str">
        <f>INDEX($U$32:$U$35,MATCH(3,$AG$32:$AG$35,0))</f>
        <v>Curazao</v>
      </c>
      <c r="BK20" s="4">
        <f>INDEX($V$32:$V$35,MATCH(3,$AG$32:$AG$35,0))</f>
        <v>0</v>
      </c>
      <c r="BL20" s="4">
        <f>INDEX($AB$32:$AB$35,MATCH(3,$AG$32:$AG$35,0))</f>
        <v>0</v>
      </c>
      <c r="BM20" s="4">
        <f>INDEX($AC$32:$AC$35,MATCH(3,$AG$32:$AG$35,0))</f>
        <v>0</v>
      </c>
      <c r="BN20" s="5">
        <v>3</v>
      </c>
      <c r="BO20" s="5" t="str">
        <f>INDEX($U$39:$U$42,MATCH(3,$AG$39:$AG$42,0))</f>
        <v>Suecia</v>
      </c>
      <c r="BP20" s="5">
        <f>INDEX($V$39:$V$42,MATCH(3,$AG$39:$AG$42,0))</f>
        <v>0</v>
      </c>
      <c r="BQ20" s="5">
        <f>INDEX($AB$39:$AB$42,MATCH(3,$AG$39:$AG$42,0))</f>
        <v>0</v>
      </c>
      <c r="BR20" s="5">
        <f>INDEX($AC$39:$AC$42,MATCH(3,$AG$39:$AG$42,0))</f>
        <v>0</v>
      </c>
      <c r="BT20" s="2">
        <f>11</f>
        <v>11</v>
      </c>
      <c r="BU20" s="2" t="str">
        <f>INDEX($AH$2:$AH$13,MATCH(11,$AM$2:$AM$13,0))</f>
        <v>A</v>
      </c>
      <c r="BV20" s="2" t="str">
        <f>INDEX($AI$2:$AI$13,MATCH(11,$AM$2:$AM$13,0))</f>
        <v>República Checa</v>
      </c>
      <c r="BW20" s="2">
        <f>INDEX($AJ$2:$AJ$13,MATCH(11,$AM$2:$AM$13,0))</f>
        <v>0</v>
      </c>
      <c r="BX20" s="2">
        <f>INDEX($AK$2:$AK$13,MATCH(11,$AM$2:$AM$13,0))</f>
        <v>0</v>
      </c>
      <c r="BY20" s="2">
        <f>INDEX($AL$2:$AL$13,MATCH(11,$AM$2:$AM$13,0))</f>
        <v>0</v>
      </c>
    </row>
    <row r="21" spans="1:82" x14ac:dyDescent="0.25">
      <c r="A21" s="2" t="str">
        <f t="shared" si="2"/>
        <v>lunes</v>
      </c>
      <c r="B21" s="14">
        <f t="shared" si="3"/>
        <v>46188.416666666664</v>
      </c>
      <c r="C21" s="15">
        <f t="shared" si="4"/>
        <v>46188.416666666664</v>
      </c>
      <c r="D21" s="2" t="s">
        <v>132</v>
      </c>
      <c r="E21" s="2" t="s">
        <v>27</v>
      </c>
      <c r="F21" s="13"/>
      <c r="G21" s="13"/>
      <c r="H21" s="2" t="s">
        <v>133</v>
      </c>
      <c r="I21" s="2">
        <v>14</v>
      </c>
      <c r="J21" s="7" t="s">
        <v>134</v>
      </c>
      <c r="K21" s="23"/>
      <c r="L21" s="24"/>
      <c r="M21" s="25"/>
      <c r="N21" s="8">
        <f t="shared" si="5"/>
        <v>46188.416666666664</v>
      </c>
      <c r="O21" s="9" t="s">
        <v>33</v>
      </c>
      <c r="P21" s="16">
        <v>46188.5</v>
      </c>
      <c r="U21" s="12" t="s">
        <v>108</v>
      </c>
      <c r="V21" s="12">
        <f>SUMPRODUCT(($O$9:$O$80="C")*((($E$9:$E$80=U21)+($H$9:$H$80=U21))&gt;0)*ISNUMBER($F$9:$F$80)*ISNUMBER($G$9:$G$80))</f>
        <v>0</v>
      </c>
      <c r="W21" s="12">
        <f>SUMPRODUCT(($O$9:$O$80="C")*ISNUMBER($F$9:$F$80)*ISNUMBER($G$9:$G$80)*((($E$9:$E$80=U21)*($F$9:$F$80&gt;$G$9:$G$80))+(($H$9:$H$80=U21)*($G$9:$G$80&gt;$F$9:$F$80))))</f>
        <v>0</v>
      </c>
      <c r="X21" s="12">
        <f>SUMPRODUCT(($O$9:$O$80="C")*ISNUMBER($F$9:$F$80)*ISNUMBER($G$9:$G$80)*((($E$9:$E$80=U21)+($H$9:$H$80=U21))&gt;0)*($F$9:$F$80=$G$9:$G$80))</f>
        <v>0</v>
      </c>
      <c r="Y21" s="12">
        <f>V21-W21-X21</f>
        <v>0</v>
      </c>
      <c r="Z21" s="12">
        <f>SUMPRODUCT(($O$9:$O$80="C")*ISNUMBER($F$9:$F$80)*ISNUMBER($G$9:$G$80)*($E$9:$E$80=U21)*$F$9:$F$80)+SUMPRODUCT(($O$9:$O$80="C")*ISNUMBER($F$9:$F$80)*ISNUMBER($G$9:$G$80)*($H$9:$H$80=U21)*$G$9:$G$80)</f>
        <v>0</v>
      </c>
      <c r="AA21" s="12">
        <f>SUMPRODUCT(($O$9:$O$80="C")*ISNUMBER($F$9:$F$80)*ISNUMBER($G$9:$G$80)*($E$9:$E$80=U21)*$G$9:$G$80)+SUMPRODUCT(($O$9:$O$80="C")*ISNUMBER($F$9:$F$80)*ISNUMBER($G$9:$G$80)*($H$9:$H$80=U21)*$F$9:$F$80)</f>
        <v>0</v>
      </c>
      <c r="AB21" s="12">
        <f>Z21-AA21</f>
        <v>0</v>
      </c>
      <c r="AC21" s="12">
        <f>W21*3+X21</f>
        <v>0</v>
      </c>
      <c r="AD21" s="12">
        <f>IF(COUNTIF($AC$18:$AC$21,AC21)=1,0,SUMPRODUCT(($O$9:$O$80="C")*ISNUMBER($F$9:$F$80)*ISNUMBER($G$9:$G$80)*((($E$9:$E$80=U21)*(((($H$9:$H$80=$U$18)*($AC$18=AC21))+(($H$9:$H$80=$U$19)*($AC$19=AC21))+(($H$9:$H$80=$U$20)*($AC$20=AC21))+(($H$9:$H$80=$U$21)*($AC$21=AC21)) )&gt;0)*(($F$9:$F$80&gt;$G$9:$G$80)*3+($F$9:$F$80=$G$9:$G$80)))+(($H$9:$H$80=U21)*(((($E$9:$E$80=$U$18)*($AC$18=AC21))+(($E$9:$E$80=$U$19)*($AC$19=AC21))+(($E$9:$E$80=$U$20)*($AC$20=AC21))+(($E$9:$E$80=$U$21)*($AC$21=AC21)) )&gt;0)*(($G$9:$G$80&gt;$F$9:$F$80)*3+($F$9:$F$80=$G$9:$G$80))))))</f>
        <v>0</v>
      </c>
      <c r="AE21" s="12">
        <f>IF(COUNTIF($AC$18:$AC$21,AC21)=1,0,SUMPRODUCT(($O$9:$O$80="C")*ISNUMBER($F$9:$F$80)*ISNUMBER($G$9:$G$80)*((($E$9:$E$80=U21)*(((($H$9:$H$80=$U$18)*($AC$18=AC21))+(($H$9:$H$80=$U$19)*($AC$19=AC21))+(($H$9:$H$80=$U$20)*($AC$20=AC21))+(($H$9:$H$80=$U$21)*($AC$21=AC21)) )&gt;0)*($F$9:$F$80-$G$9:$G$80))+(($H$9:$H$80=U21)*(((($E$9:$E$80=$U$18)*($AC$18=AC21))+(($E$9:$E$80=$U$19)*($AC$19=AC21))+(($E$9:$E$80=$U$20)*($AC$20=AC21))+(($E$9:$E$80=$U$21)*($AC$21=AC21)) )&gt;0)*($G$9:$G$80-$F$9:$F$80)))))</f>
        <v>0</v>
      </c>
      <c r="AF21" s="12">
        <f>IF(COUNTIF($AC$18:$AC$21,AC21)=1,0,SUMPRODUCT(($O$9:$O$80="C")*ISNUMBER($F$9:$F$80)*ISNUMBER($G$9:$G$80)*((($E$9:$E$80=U21)*(((($H$9:$H$80=$U$18)*($AC$18=AC21))+(($H$9:$H$80=$U$19)*($AC$19=AC21))+(($H$9:$H$80=$U$20)*($AC$20=AC21))+(($H$9:$H$80=$U$21)*($AC$21=AC21)) )&gt;0)*$F$9:$F$80)+(($H$9:$H$80=U21)*(((($E$9:$E$80=$U$18)*($AC$18=AC21))+(($E$9:$E$80=$U$19)*($AC$19=AC21))+(($E$9:$E$80=$U$20)*($AC$20=AC21))+(($E$9:$E$80=$U$21)*($AC$21=AC21)) )&gt;0)*$G$9:$G$80))))</f>
        <v>0</v>
      </c>
      <c r="AG21" s="12">
        <f>1+SUMPRODUCT(--(($AC$18:$AC$21&gt;AC21)+(($AC$18:$AC$21=AC21)*($AD$18:$AD$21&gt;AD21))+(($AC$18:$AC$21=AC21)*($AD$18:$AD$21=AD21)*($AE$18:$AE$21&gt;AE21))+(($AC$18:$AC$21=AC21)*($AD$18:$AD$21=AD21)*($AE$18:$AE$21=AE21)*($AF$18:$AF$21&gt;AF21))+(($AC$18:$AC$21=AC21)*($AD$18:$AD$21=AD21)*($AE$18:$AE$21=AE21)*($AF$18:$AF$21=AF21)*($AB$18:$AB$21&gt;AB21))+(($AC$18:$AC$21=AC21)*($AD$18:$AD$21=AD21)*($AE$18:$AE$21=AE21)*($AF$18:$AF$21=AF21)*($AB$18:$AB$21=AB21)*($Z$18:$Z$21&gt;Z21))+(($AC$18:$AC$21=AC21)*($AD$18:$AD$21=AD21)*($AE$18:$AE$21=AE21)*($AF$18:$AF$21=AF21)*($AB$18:$AB$21=AB21)*($Z$18:$Z$21=Z21)*($U$18:$U$21&lt;U21))))</f>
        <v>2</v>
      </c>
      <c r="AO21" s="11" t="s">
        <v>135</v>
      </c>
      <c r="AP21" s="11" t="s">
        <v>30</v>
      </c>
      <c r="AQ21" s="11" t="s">
        <v>31</v>
      </c>
      <c r="AR21" s="11" t="s">
        <v>32</v>
      </c>
      <c r="AS21" s="11" t="s">
        <v>36</v>
      </c>
      <c r="AT21" s="11" t="s">
        <v>28</v>
      </c>
      <c r="AU21" s="11" t="s">
        <v>34</v>
      </c>
      <c r="AV21" s="11" t="s">
        <v>50</v>
      </c>
      <c r="AW21" s="11" t="s">
        <v>46</v>
      </c>
      <c r="BD21" s="3">
        <v>4</v>
      </c>
      <c r="BE21" s="3" t="str">
        <f>INDEX($U$25:$U$28,MATCH(4,$AG$25:$AG$28,0))</f>
        <v>Turquía</v>
      </c>
      <c r="BF21" s="3">
        <f>INDEX($V$25:$V$28,MATCH(4,$AG$25:$AG$28,0))</f>
        <v>0</v>
      </c>
      <c r="BG21" s="3">
        <f>INDEX($AB$25:$AB$28,MATCH(4,$AG$25:$AG$28,0))</f>
        <v>0</v>
      </c>
      <c r="BH21" s="3">
        <f>INDEX($AC$25:$AC$28,MATCH(4,$AG$25:$AG$28,0))</f>
        <v>0</v>
      </c>
      <c r="BI21" s="4">
        <v>4</v>
      </c>
      <c r="BJ21" s="4" t="str">
        <f>INDEX($U$32:$U$35,MATCH(4,$AG$32:$AG$35,0))</f>
        <v>Ecuador</v>
      </c>
      <c r="BK21" s="4">
        <f>INDEX($V$32:$V$35,MATCH(4,$AG$32:$AG$35,0))</f>
        <v>0</v>
      </c>
      <c r="BL21" s="4">
        <f>INDEX($AB$32:$AB$35,MATCH(4,$AG$32:$AG$35,0))</f>
        <v>0</v>
      </c>
      <c r="BM21" s="4">
        <f>INDEX($AC$32:$AC$35,MATCH(4,$AG$32:$AG$35,0))</f>
        <v>0</v>
      </c>
      <c r="BN21" s="5">
        <v>4</v>
      </c>
      <c r="BO21" s="5" t="str">
        <f>INDEX($U$39:$U$42,MATCH(4,$AG$39:$AG$42,0))</f>
        <v>Túnez</v>
      </c>
      <c r="BP21" s="5">
        <f>INDEX($V$39:$V$42,MATCH(4,$AG$39:$AG$42,0))</f>
        <v>0</v>
      </c>
      <c r="BQ21" s="5">
        <f>INDEX($AB$39:$AB$42,MATCH(4,$AG$39:$AG$42,0))</f>
        <v>0</v>
      </c>
      <c r="BR21" s="5">
        <f>INDEX($AC$39:$AC$42,MATCH(4,$AG$39:$AG$42,0))</f>
        <v>0</v>
      </c>
      <c r="BT21" s="2">
        <f>12</f>
        <v>12</v>
      </c>
      <c r="BU21" s="2" t="str">
        <f>INDEX($AH$2:$AH$13,MATCH(12,$AM$2:$AM$13,0))</f>
        <v>F</v>
      </c>
      <c r="BV21" s="2" t="str">
        <f>INDEX($AI$2:$AI$13,MATCH(12,$AM$2:$AM$13,0))</f>
        <v>Suecia</v>
      </c>
      <c r="BW21" s="2">
        <f>INDEX($AJ$2:$AJ$13,MATCH(12,$AM$2:$AM$13,0))</f>
        <v>0</v>
      </c>
      <c r="BX21" s="2">
        <f>INDEX($AK$2:$AK$13,MATCH(12,$AM$2:$AM$13,0))</f>
        <v>0</v>
      </c>
      <c r="BY21" s="2">
        <f>INDEX($AL$2:$AL$13,MATCH(12,$AM$2:$AM$13,0))</f>
        <v>0</v>
      </c>
    </row>
    <row r="22" spans="1:82" x14ac:dyDescent="0.25">
      <c r="A22" s="2" t="str">
        <f t="shared" si="2"/>
        <v>lunes</v>
      </c>
      <c r="B22" s="14">
        <f t="shared" si="3"/>
        <v>46188.541666666664</v>
      </c>
      <c r="C22" s="15">
        <f t="shared" si="4"/>
        <v>46188.541666666664</v>
      </c>
      <c r="D22" s="2" t="s">
        <v>136</v>
      </c>
      <c r="E22" s="2" t="s">
        <v>137</v>
      </c>
      <c r="F22" s="13"/>
      <c r="G22" s="13"/>
      <c r="H22" s="2" t="s">
        <v>138</v>
      </c>
      <c r="I22" s="2">
        <v>16</v>
      </c>
      <c r="J22" s="7" t="s">
        <v>139</v>
      </c>
      <c r="K22" s="23"/>
      <c r="L22" s="24"/>
      <c r="M22" s="25"/>
      <c r="N22" s="8">
        <f t="shared" si="5"/>
        <v>46188.541666666664</v>
      </c>
      <c r="O22" s="9" t="s">
        <v>31</v>
      </c>
      <c r="P22" s="16">
        <v>46188.625</v>
      </c>
      <c r="AO22" s="11" t="s">
        <v>140</v>
      </c>
      <c r="AP22" s="11" t="s">
        <v>30</v>
      </c>
      <c r="AQ22" s="11" t="s">
        <v>31</v>
      </c>
      <c r="AR22" s="11" t="s">
        <v>32</v>
      </c>
      <c r="AS22" s="11" t="s">
        <v>55</v>
      </c>
      <c r="AT22" s="11" t="s">
        <v>28</v>
      </c>
      <c r="AU22" s="11" t="s">
        <v>34</v>
      </c>
      <c r="AV22" s="11" t="s">
        <v>36</v>
      </c>
      <c r="AW22" s="11" t="s">
        <v>46</v>
      </c>
    </row>
    <row r="23" spans="1:82" x14ac:dyDescent="0.25">
      <c r="A23" s="2" t="str">
        <f t="shared" si="2"/>
        <v>lunes</v>
      </c>
      <c r="B23" s="14">
        <f t="shared" si="3"/>
        <v>46188.666666666664</v>
      </c>
      <c r="C23" s="15">
        <f t="shared" si="4"/>
        <v>46188.666666666664</v>
      </c>
      <c r="D23" s="2" t="s">
        <v>132</v>
      </c>
      <c r="E23" s="2" t="s">
        <v>141</v>
      </c>
      <c r="F23" s="13"/>
      <c r="G23" s="13"/>
      <c r="H23" s="2" t="s">
        <v>142</v>
      </c>
      <c r="I23" s="2">
        <v>13</v>
      </c>
      <c r="J23" s="7" t="s">
        <v>143</v>
      </c>
      <c r="K23" s="23"/>
      <c r="L23" s="24"/>
      <c r="M23" s="25"/>
      <c r="N23" s="8">
        <f t="shared" si="5"/>
        <v>46188.666666666664</v>
      </c>
      <c r="O23" s="9" t="s">
        <v>33</v>
      </c>
      <c r="P23" s="16">
        <v>46188.75</v>
      </c>
      <c r="AO23" s="11" t="s">
        <v>144</v>
      </c>
      <c r="AP23" s="11" t="s">
        <v>30</v>
      </c>
      <c r="AQ23" s="11" t="s">
        <v>31</v>
      </c>
      <c r="AR23" s="11" t="s">
        <v>32</v>
      </c>
      <c r="AS23" s="11" t="s">
        <v>36</v>
      </c>
      <c r="AT23" s="11" t="s">
        <v>28</v>
      </c>
      <c r="AU23" s="11" t="s">
        <v>34</v>
      </c>
      <c r="AV23" s="11" t="s">
        <v>46</v>
      </c>
      <c r="AW23" s="11" t="s">
        <v>60</v>
      </c>
      <c r="BV23" s="20" t="s">
        <v>145</v>
      </c>
      <c r="BW23" s="31" t="s">
        <v>146</v>
      </c>
      <c r="BX23" s="32"/>
      <c r="BY23" s="32"/>
      <c r="BZ23" s="32"/>
      <c r="CA23" s="32"/>
      <c r="CB23" s="32"/>
      <c r="CC23" s="32"/>
      <c r="CD23" s="32"/>
    </row>
    <row r="24" spans="1:82" x14ac:dyDescent="0.25">
      <c r="A24" s="2" t="str">
        <f t="shared" si="2"/>
        <v>lunes</v>
      </c>
      <c r="B24" s="14">
        <f t="shared" si="3"/>
        <v>46188.791666666664</v>
      </c>
      <c r="C24" s="15">
        <f t="shared" si="4"/>
        <v>46188.791666666664</v>
      </c>
      <c r="D24" s="2" t="s">
        <v>136</v>
      </c>
      <c r="E24" s="2" t="s">
        <v>147</v>
      </c>
      <c r="F24" s="13"/>
      <c r="G24" s="13"/>
      <c r="H24" s="2" t="s">
        <v>148</v>
      </c>
      <c r="I24" s="2">
        <v>15</v>
      </c>
      <c r="J24" s="7" t="s">
        <v>97</v>
      </c>
      <c r="K24" s="23"/>
      <c r="L24" s="24"/>
      <c r="M24" s="25"/>
      <c r="N24" s="8">
        <f t="shared" si="5"/>
        <v>46188.791666666664</v>
      </c>
      <c r="O24" s="9" t="s">
        <v>31</v>
      </c>
      <c r="P24" s="16">
        <v>46188.875</v>
      </c>
      <c r="U24" s="12" t="s">
        <v>4</v>
      </c>
      <c r="V24" s="12" t="s">
        <v>39</v>
      </c>
      <c r="W24" s="12" t="s">
        <v>31</v>
      </c>
      <c r="X24" s="12" t="s">
        <v>36</v>
      </c>
      <c r="Y24" s="12" t="s">
        <v>40</v>
      </c>
      <c r="Z24" s="12" t="s">
        <v>7</v>
      </c>
      <c r="AA24" s="12" t="s">
        <v>41</v>
      </c>
      <c r="AB24" s="12" t="s">
        <v>6</v>
      </c>
      <c r="AC24" s="12" t="s">
        <v>5</v>
      </c>
      <c r="AD24" s="12" t="s">
        <v>42</v>
      </c>
      <c r="AE24" s="12" t="s">
        <v>43</v>
      </c>
      <c r="AF24" s="12" t="s">
        <v>44</v>
      </c>
      <c r="AG24" s="12" t="s">
        <v>8</v>
      </c>
      <c r="AO24" s="11" t="s">
        <v>149</v>
      </c>
      <c r="AP24" s="11" t="s">
        <v>30</v>
      </c>
      <c r="AQ24" s="11" t="s">
        <v>31</v>
      </c>
      <c r="AR24" s="11" t="s">
        <v>32</v>
      </c>
      <c r="AS24" s="11" t="s">
        <v>55</v>
      </c>
      <c r="AT24" s="11" t="s">
        <v>28</v>
      </c>
      <c r="AU24" s="11" t="s">
        <v>34</v>
      </c>
      <c r="AV24" s="11" t="s">
        <v>50</v>
      </c>
      <c r="AW24" s="11" t="s">
        <v>36</v>
      </c>
      <c r="BD24" s="28" t="s">
        <v>136</v>
      </c>
      <c r="BE24" s="29"/>
      <c r="BF24" s="29"/>
      <c r="BG24" s="29"/>
      <c r="BH24" s="30"/>
      <c r="BI24" s="28" t="s">
        <v>132</v>
      </c>
      <c r="BJ24" s="29"/>
      <c r="BK24" s="29"/>
      <c r="BL24" s="29"/>
      <c r="BM24" s="30"/>
      <c r="BN24" s="28" t="s">
        <v>150</v>
      </c>
      <c r="BO24" s="29"/>
      <c r="BP24" s="29"/>
      <c r="BQ24" s="29"/>
      <c r="BR24" s="30"/>
      <c r="BV24" s="20" t="s">
        <v>151</v>
      </c>
      <c r="BW24" s="31" t="s">
        <v>152</v>
      </c>
      <c r="BX24" s="32"/>
      <c r="BY24" s="32"/>
      <c r="BZ24" s="32"/>
      <c r="CA24" s="32"/>
      <c r="CB24" s="32"/>
      <c r="CC24" s="32"/>
      <c r="CD24" s="32"/>
    </row>
    <row r="25" spans="1:82" x14ac:dyDescent="0.25">
      <c r="A25" s="2" t="str">
        <f t="shared" si="2"/>
        <v>martes</v>
      </c>
      <c r="B25" s="14">
        <f t="shared" si="3"/>
        <v>46189.541666666664</v>
      </c>
      <c r="C25" s="15">
        <f t="shared" si="4"/>
        <v>46189.541666666664</v>
      </c>
      <c r="D25" s="2" t="s">
        <v>150</v>
      </c>
      <c r="E25" s="2" t="s">
        <v>153</v>
      </c>
      <c r="F25" s="13"/>
      <c r="G25" s="13"/>
      <c r="H25" s="2" t="s">
        <v>154</v>
      </c>
      <c r="I25" s="2">
        <v>17</v>
      </c>
      <c r="J25" s="7" t="s">
        <v>105</v>
      </c>
      <c r="K25" s="23"/>
      <c r="L25" s="24"/>
      <c r="M25" s="25"/>
      <c r="N25" s="8">
        <f t="shared" si="5"/>
        <v>46189.541666666664</v>
      </c>
      <c r="O25" s="9" t="s">
        <v>46</v>
      </c>
      <c r="P25" s="16">
        <v>46189.625</v>
      </c>
      <c r="U25" s="12" t="s">
        <v>95</v>
      </c>
      <c r="V25" s="12">
        <f>SUMPRODUCT(($O$9:$O$80="D")*((($E$9:$E$80=U25)+($H$9:$H$80=U25))&gt;0)*ISNUMBER($F$9:$F$80)*ISNUMBER($G$9:$G$80))</f>
        <v>0</v>
      </c>
      <c r="W25" s="12">
        <f>SUMPRODUCT(($O$9:$O$80="D")*ISNUMBER($F$9:$F$80)*ISNUMBER($G$9:$G$80)*((($E$9:$E$80=U25)*($F$9:$F$80&gt;$G$9:$G$80))+(($H$9:$H$80=U25)*($G$9:$G$80&gt;$F$9:$F$80))))</f>
        <v>0</v>
      </c>
      <c r="X25" s="12">
        <f>SUMPRODUCT(($O$9:$O$80="D")*ISNUMBER($F$9:$F$80)*ISNUMBER($G$9:$G$80)*((($E$9:$E$80=U25)+($H$9:$H$80=U25))&gt;0)*($F$9:$F$80=$G$9:$G$80))</f>
        <v>0</v>
      </c>
      <c r="Y25" s="12">
        <f>V25-W25-X25</f>
        <v>0</v>
      </c>
      <c r="Z25" s="12">
        <f>SUMPRODUCT(($O$9:$O$80="D")*ISNUMBER($F$9:$F$80)*ISNUMBER($G$9:$G$80)*($E$9:$E$80=U25)*$F$9:$F$80)+SUMPRODUCT(($O$9:$O$80="D")*ISNUMBER($F$9:$F$80)*ISNUMBER($G$9:$G$80)*($H$9:$H$80=U25)*$G$9:$G$80)</f>
        <v>0</v>
      </c>
      <c r="AA25" s="12">
        <f>SUMPRODUCT(($O$9:$O$80="D")*ISNUMBER($F$9:$F$80)*ISNUMBER($G$9:$G$80)*($E$9:$E$80=U25)*$G$9:$G$80)+SUMPRODUCT(($O$9:$O$80="D")*ISNUMBER($F$9:$F$80)*ISNUMBER($G$9:$G$80)*($H$9:$H$80=U25)*$F$9:$F$80)</f>
        <v>0</v>
      </c>
      <c r="AB25" s="12">
        <f>Z25-AA25</f>
        <v>0</v>
      </c>
      <c r="AC25" s="12">
        <f>W25*3+X25</f>
        <v>0</v>
      </c>
      <c r="AD25" s="12">
        <f>IF(COUNTIF($AC$25:$AC$28,AC25)=1,0,SUMPRODUCT(($O$9:$O$80="D")*ISNUMBER($F$9:$F$80)*ISNUMBER($G$9:$G$80)*((($E$9:$E$80=U25)*(((($H$9:$H$80=$U$25)*($AC$25=AC25))+(($H$9:$H$80=$U$26)*($AC$26=AC25))+(($H$9:$H$80=$U$27)*($AC$27=AC25))+(($H$9:$H$80=$U$28)*($AC$28=AC25)) )&gt;0)*(($F$9:$F$80&gt;$G$9:$G$80)*3+($F$9:$F$80=$G$9:$G$80)))+(($H$9:$H$80=U25)*(((($E$9:$E$80=$U$25)*($AC$25=AC25))+(($E$9:$E$80=$U$26)*($AC$26=AC25))+(($E$9:$E$80=$U$27)*($AC$27=AC25))+(($E$9:$E$80=$U$28)*($AC$28=AC25)) )&gt;0)*(($G$9:$G$80&gt;$F$9:$F$80)*3+($F$9:$F$80=$G$9:$G$80))))))</f>
        <v>0</v>
      </c>
      <c r="AE25" s="12">
        <f>IF(COUNTIF($AC$25:$AC$28,AC25)=1,0,SUMPRODUCT(($O$9:$O$80="D")*ISNUMBER($F$9:$F$80)*ISNUMBER($G$9:$G$80)*((($E$9:$E$80=U25)*(((($H$9:$H$80=$U$25)*($AC$25=AC25))+(($H$9:$H$80=$U$26)*($AC$26=AC25))+(($H$9:$H$80=$U$27)*($AC$27=AC25))+(($H$9:$H$80=$U$28)*($AC$28=AC25)) )&gt;0)*($F$9:$F$80-$G$9:$G$80))+(($H$9:$H$80=U25)*(((($E$9:$E$80=$U$25)*($AC$25=AC25))+(($E$9:$E$80=$U$26)*($AC$26=AC25))+(($E$9:$E$80=$U$27)*($AC$27=AC25))+(($E$9:$E$80=$U$28)*($AC$28=AC25)) )&gt;0)*($G$9:$G$80-$F$9:$F$80)))))</f>
        <v>0</v>
      </c>
      <c r="AF25" s="12">
        <f>IF(COUNTIF($AC$25:$AC$28,AC25)=1,0,SUMPRODUCT(($O$9:$O$80="D")*ISNUMBER($F$9:$F$80)*ISNUMBER($G$9:$G$80)*((($E$9:$E$80=U25)*(((($H$9:$H$80=$U$25)*($AC$25=AC25))+(($H$9:$H$80=$U$26)*($AC$26=AC25))+(($H$9:$H$80=$U$27)*($AC$27=AC25))+(($H$9:$H$80=$U$28)*($AC$28=AC25)) )&gt;0)*$F$9:$F$80)+(($H$9:$H$80=U25)*(((($E$9:$E$80=$U$25)*($AC$25=AC25))+(($E$9:$E$80=$U$26)*($AC$26=AC25))+(($E$9:$E$80=$U$27)*($AC$27=AC25))+(($E$9:$E$80=$U$28)*($AC$28=AC25)) )&gt;0)*$G$9:$G$80))))</f>
        <v>0</v>
      </c>
      <c r="AG25" s="12">
        <f>1+SUMPRODUCT(--(($AC$25:$AC$28&gt;AC25)+(($AC$25:$AC$28=AC25)*($AD$25:$AD$28&gt;AD25))+(($AC$25:$AC$28=AC25)*($AD$25:$AD$28=AD25)*($AE$25:$AE$28&gt;AE25))+(($AC$25:$AC$28=AC25)*($AD$25:$AD$28=AD25)*($AE$25:$AE$28=AE25)*($AF$25:$AF$28&gt;AF25))+(($AC$25:$AC$28=AC25)*($AD$25:$AD$28=AD25)*($AE$25:$AE$28=AE25)*($AF$25:$AF$28=AF25)*($AB$25:$AB$28&gt;AB25))+(($AC$25:$AC$28=AC25)*($AD$25:$AD$28=AD25)*($AE$25:$AE$28=AE25)*($AF$25:$AF$28=AF25)*($AB$25:$AB$28=AB25)*($Z$25:$Z$28&gt;Z25))+(($AC$25:$AC$28=AC25)*($AD$25:$AD$28=AD25)*($AE$25:$AE$28=AE25)*($AF$25:$AF$28=AF25)*($AB$25:$AB$28=AB25)*($Z$25:$Z$28=Z25)*($U$25:$U$28&lt;U25))))</f>
        <v>2</v>
      </c>
      <c r="AO25" s="11" t="s">
        <v>155</v>
      </c>
      <c r="AP25" s="11" t="s">
        <v>30</v>
      </c>
      <c r="AQ25" s="11" t="s">
        <v>31</v>
      </c>
      <c r="AR25" s="11" t="s">
        <v>32</v>
      </c>
      <c r="AS25" s="11" t="s">
        <v>36</v>
      </c>
      <c r="AT25" s="11" t="s">
        <v>28</v>
      </c>
      <c r="AU25" s="11" t="s">
        <v>34</v>
      </c>
      <c r="AV25" s="11" t="s">
        <v>50</v>
      </c>
      <c r="AW25" s="11" t="s">
        <v>60</v>
      </c>
      <c r="BD25" s="21" t="s">
        <v>86</v>
      </c>
      <c r="BE25" s="21" t="s">
        <v>4</v>
      </c>
      <c r="BF25" s="21" t="s">
        <v>39</v>
      </c>
      <c r="BG25" s="21" t="s">
        <v>6</v>
      </c>
      <c r="BH25" s="21" t="s">
        <v>5</v>
      </c>
      <c r="BI25" s="21" t="s">
        <v>86</v>
      </c>
      <c r="BJ25" s="21" t="s">
        <v>4</v>
      </c>
      <c r="BK25" s="21" t="s">
        <v>39</v>
      </c>
      <c r="BL25" s="21" t="s">
        <v>6</v>
      </c>
      <c r="BM25" s="21" t="s">
        <v>5</v>
      </c>
      <c r="BN25" s="21" t="s">
        <v>86</v>
      </c>
      <c r="BO25" s="21" t="s">
        <v>4</v>
      </c>
      <c r="BP25" s="21" t="s">
        <v>39</v>
      </c>
      <c r="BQ25" s="21" t="s">
        <v>6</v>
      </c>
      <c r="BR25" s="21" t="s">
        <v>5</v>
      </c>
    </row>
    <row r="26" spans="1:82" x14ac:dyDescent="0.25">
      <c r="A26" s="2" t="str">
        <f t="shared" si="2"/>
        <v>martes</v>
      </c>
      <c r="B26" s="14">
        <f t="shared" si="3"/>
        <v>46189.666666666664</v>
      </c>
      <c r="C26" s="15">
        <f t="shared" si="4"/>
        <v>46189.666666666664</v>
      </c>
      <c r="D26" s="2" t="s">
        <v>150</v>
      </c>
      <c r="E26" s="2" t="s">
        <v>156</v>
      </c>
      <c r="F26" s="13"/>
      <c r="G26" s="13"/>
      <c r="H26" s="2" t="s">
        <v>157</v>
      </c>
      <c r="I26" s="2">
        <v>18</v>
      </c>
      <c r="J26" s="7" t="s">
        <v>109</v>
      </c>
      <c r="K26" s="23"/>
      <c r="L26" s="24"/>
      <c r="M26" s="25"/>
      <c r="N26" s="8">
        <f t="shared" si="5"/>
        <v>46189.666666666664</v>
      </c>
      <c r="O26" s="9" t="s">
        <v>46</v>
      </c>
      <c r="P26" s="16">
        <v>46189.75</v>
      </c>
      <c r="U26" s="12" t="s">
        <v>96</v>
      </c>
      <c r="V26" s="12">
        <f>SUMPRODUCT(($O$9:$O$80="D")*((($E$9:$E$80=U26)+($H$9:$H$80=U26))&gt;0)*ISNUMBER($F$9:$F$80)*ISNUMBER($G$9:$G$80))</f>
        <v>0</v>
      </c>
      <c r="W26" s="12">
        <f>SUMPRODUCT(($O$9:$O$80="D")*ISNUMBER($F$9:$F$80)*ISNUMBER($G$9:$G$80)*((($E$9:$E$80=U26)*($F$9:$F$80&gt;$G$9:$G$80))+(($H$9:$H$80=U26)*($G$9:$G$80&gt;$F$9:$F$80))))</f>
        <v>0</v>
      </c>
      <c r="X26" s="12">
        <f>SUMPRODUCT(($O$9:$O$80="D")*ISNUMBER($F$9:$F$80)*ISNUMBER($G$9:$G$80)*((($E$9:$E$80=U26)+($H$9:$H$80=U26))&gt;0)*($F$9:$F$80=$G$9:$G$80))</f>
        <v>0</v>
      </c>
      <c r="Y26" s="12">
        <f>V26-W26-X26</f>
        <v>0</v>
      </c>
      <c r="Z26" s="12">
        <f>SUMPRODUCT(($O$9:$O$80="D")*ISNUMBER($F$9:$F$80)*ISNUMBER($G$9:$G$80)*($E$9:$E$80=U26)*$F$9:$F$80)+SUMPRODUCT(($O$9:$O$80="D")*ISNUMBER($F$9:$F$80)*ISNUMBER($G$9:$G$80)*($H$9:$H$80=U26)*$G$9:$G$80)</f>
        <v>0</v>
      </c>
      <c r="AA26" s="12">
        <f>SUMPRODUCT(($O$9:$O$80="D")*ISNUMBER($F$9:$F$80)*ISNUMBER($G$9:$G$80)*($E$9:$E$80=U26)*$G$9:$G$80)+SUMPRODUCT(($O$9:$O$80="D")*ISNUMBER($F$9:$F$80)*ISNUMBER($G$9:$G$80)*($H$9:$H$80=U26)*$F$9:$F$80)</f>
        <v>0</v>
      </c>
      <c r="AB26" s="12">
        <f>Z26-AA26</f>
        <v>0</v>
      </c>
      <c r="AC26" s="12">
        <f>W26*3+X26</f>
        <v>0</v>
      </c>
      <c r="AD26" s="12">
        <f>IF(COUNTIF($AC$25:$AC$28,AC26)=1,0,SUMPRODUCT(($O$9:$O$80="D")*ISNUMBER($F$9:$F$80)*ISNUMBER($G$9:$G$80)*((($E$9:$E$80=U26)*(((($H$9:$H$80=$U$25)*($AC$25=AC26))+(($H$9:$H$80=$U$26)*($AC$26=AC26))+(($H$9:$H$80=$U$27)*($AC$27=AC26))+(($H$9:$H$80=$U$28)*($AC$28=AC26)) )&gt;0)*(($F$9:$F$80&gt;$G$9:$G$80)*3+($F$9:$F$80=$G$9:$G$80)))+(($H$9:$H$80=U26)*(((($E$9:$E$80=$U$25)*($AC$25=AC26))+(($E$9:$E$80=$U$26)*($AC$26=AC26))+(($E$9:$E$80=$U$27)*($AC$27=AC26))+(($E$9:$E$80=$U$28)*($AC$28=AC26)) )&gt;0)*(($G$9:$G$80&gt;$F$9:$F$80)*3+($F$9:$F$80=$G$9:$G$80))))))</f>
        <v>0</v>
      </c>
      <c r="AE26" s="12">
        <f>IF(COUNTIF($AC$25:$AC$28,AC26)=1,0,SUMPRODUCT(($O$9:$O$80="D")*ISNUMBER($F$9:$F$80)*ISNUMBER($G$9:$G$80)*((($E$9:$E$80=U26)*(((($H$9:$H$80=$U$25)*($AC$25=AC26))+(($H$9:$H$80=$U$26)*($AC$26=AC26))+(($H$9:$H$80=$U$27)*($AC$27=AC26))+(($H$9:$H$80=$U$28)*($AC$28=AC26)) )&gt;0)*($F$9:$F$80-$G$9:$G$80))+(($H$9:$H$80=U26)*(((($E$9:$E$80=$U$25)*($AC$25=AC26))+(($E$9:$E$80=$U$26)*($AC$26=AC26))+(($E$9:$E$80=$U$27)*($AC$27=AC26))+(($E$9:$E$80=$U$28)*($AC$28=AC26)) )&gt;0)*($G$9:$G$80-$F$9:$F$80)))))</f>
        <v>0</v>
      </c>
      <c r="AF26" s="12">
        <f>IF(COUNTIF($AC$25:$AC$28,AC26)=1,0,SUMPRODUCT(($O$9:$O$80="D")*ISNUMBER($F$9:$F$80)*ISNUMBER($G$9:$G$80)*((($E$9:$E$80=U26)*(((($H$9:$H$80=$U$25)*($AC$25=AC26))+(($H$9:$H$80=$U$26)*($AC$26=AC26))+(($H$9:$H$80=$U$27)*($AC$27=AC26))+(($H$9:$H$80=$U$28)*($AC$28=AC26)) )&gt;0)*$F$9:$F$80)+(($H$9:$H$80=U26)*(((($E$9:$E$80=$U$25)*($AC$25=AC26))+(($E$9:$E$80=$U$26)*($AC$26=AC26))+(($E$9:$E$80=$U$27)*($AC$27=AC26))+(($E$9:$E$80=$U$28)*($AC$28=AC26)) )&gt;0)*$G$9:$G$80))))</f>
        <v>0</v>
      </c>
      <c r="AG26" s="12">
        <f>1+SUMPRODUCT(--(($AC$25:$AC$28&gt;AC26)+(($AC$25:$AC$28=AC26)*($AD$25:$AD$28&gt;AD26))+(($AC$25:$AC$28=AC26)*($AD$25:$AD$28=AD26)*($AE$25:$AE$28&gt;AE26))+(($AC$25:$AC$28=AC26)*($AD$25:$AD$28=AD26)*($AE$25:$AE$28=AE26)*($AF$25:$AF$28&gt;AF26))+(($AC$25:$AC$28=AC26)*($AD$25:$AD$28=AD26)*($AE$25:$AE$28=AE26)*($AF$25:$AF$28=AF26)*($AB$25:$AB$28&gt;AB26))+(($AC$25:$AC$28=AC26)*($AD$25:$AD$28=AD26)*($AE$25:$AE$28=AE26)*($AF$25:$AF$28=AF26)*($AB$25:$AB$28=AB26)*($Z$25:$Z$28&gt;Z26))+(($AC$25:$AC$28=AC26)*($AD$25:$AD$28=AD26)*($AE$25:$AE$28=AE26)*($AF$25:$AF$28=AF26)*($AB$25:$AB$28=AB26)*($Z$25:$Z$28=Z26)*($U$25:$U$28&lt;U26))))</f>
        <v>3</v>
      </c>
      <c r="AO26" s="11" t="s">
        <v>158</v>
      </c>
      <c r="AP26" s="11" t="s">
        <v>30</v>
      </c>
      <c r="AQ26" s="11" t="s">
        <v>31</v>
      </c>
      <c r="AR26" s="11" t="s">
        <v>32</v>
      </c>
      <c r="AS26" s="11" t="s">
        <v>55</v>
      </c>
      <c r="AT26" s="11" t="s">
        <v>28</v>
      </c>
      <c r="AU26" s="11" t="s">
        <v>34</v>
      </c>
      <c r="AV26" s="11" t="s">
        <v>36</v>
      </c>
      <c r="AW26" s="11" t="s">
        <v>60</v>
      </c>
      <c r="BD26" s="3">
        <v>1</v>
      </c>
      <c r="BE26" s="3" t="str">
        <f>INDEX($U$46:$U$49,MATCH(1,$AG$46:$AG$49,0))</f>
        <v>Bélgica</v>
      </c>
      <c r="BF26" s="3">
        <f>INDEX($V$46:$V$49,MATCH(1,$AG$46:$AG$49,0))</f>
        <v>0</v>
      </c>
      <c r="BG26" s="3">
        <f>INDEX($AB$46:$AB$49,MATCH(1,$AG$46:$AG$49,0))</f>
        <v>0</v>
      </c>
      <c r="BH26" s="3">
        <f>INDEX($AC$46:$AC$49,MATCH(1,$AG$46:$AG$49,0))</f>
        <v>0</v>
      </c>
      <c r="BI26" s="4">
        <v>1</v>
      </c>
      <c r="BJ26" s="4" t="str">
        <f>INDEX($U$53:$U$56,MATCH(1,$AG$53:$AG$56,0))</f>
        <v>Arabia Saudita</v>
      </c>
      <c r="BK26" s="4">
        <f>INDEX($V$53:$V$56,MATCH(1,$AG$53:$AG$56,0))</f>
        <v>0</v>
      </c>
      <c r="BL26" s="4">
        <f>INDEX($AB$53:$AB$56,MATCH(1,$AG$53:$AG$56,0))</f>
        <v>0</v>
      </c>
      <c r="BM26" s="4">
        <f>INDEX($AC$53:$AC$56,MATCH(1,$AG$53:$AG$56,0))</f>
        <v>0</v>
      </c>
      <c r="BN26" s="5">
        <v>1</v>
      </c>
      <c r="BO26" s="5" t="str">
        <f>INDEX($U$60:$U$63,MATCH(1,$AG$60:$AG$63,0))</f>
        <v>Francia</v>
      </c>
      <c r="BP26" s="5">
        <f>INDEX($V$60:$V$63,MATCH(1,$AG$60:$AG$63,0))</f>
        <v>0</v>
      </c>
      <c r="BQ26" s="5">
        <f>INDEX($AB$60:$AB$63,MATCH(1,$AG$60:$AG$63,0))</f>
        <v>0</v>
      </c>
      <c r="BR26" s="5">
        <f>INDEX($AC$60:$AC$63,MATCH(1,$AG$60:$AG$63,0))</f>
        <v>0</v>
      </c>
    </row>
    <row r="27" spans="1:82" x14ac:dyDescent="0.25">
      <c r="A27" s="2" t="str">
        <f t="shared" si="2"/>
        <v>martes</v>
      </c>
      <c r="B27" s="14">
        <f t="shared" si="3"/>
        <v>46189.791666666664</v>
      </c>
      <c r="C27" s="15">
        <f t="shared" si="4"/>
        <v>46189.791666666664</v>
      </c>
      <c r="D27" s="2" t="s">
        <v>159</v>
      </c>
      <c r="E27" s="2" t="s">
        <v>62</v>
      </c>
      <c r="F27" s="13"/>
      <c r="G27" s="13"/>
      <c r="H27" s="2" t="s">
        <v>160</v>
      </c>
      <c r="I27" s="2">
        <v>19</v>
      </c>
      <c r="J27" s="7" t="s">
        <v>161</v>
      </c>
      <c r="K27" s="23"/>
      <c r="L27" s="24"/>
      <c r="M27" s="25"/>
      <c r="N27" s="8">
        <f t="shared" si="5"/>
        <v>46189.791666666664</v>
      </c>
      <c r="O27" s="9" t="s">
        <v>50</v>
      </c>
      <c r="P27" s="16">
        <v>46189.875</v>
      </c>
      <c r="U27" s="12" t="s">
        <v>111</v>
      </c>
      <c r="V27" s="12">
        <f>SUMPRODUCT(($O$9:$O$80="D")*((($E$9:$E$80=U27)+($H$9:$H$80=U27))&gt;0)*ISNUMBER($F$9:$F$80)*ISNUMBER($G$9:$G$80))</f>
        <v>0</v>
      </c>
      <c r="W27" s="12">
        <f>SUMPRODUCT(($O$9:$O$80="D")*ISNUMBER($F$9:$F$80)*ISNUMBER($G$9:$G$80)*((($E$9:$E$80=U27)*($F$9:$F$80&gt;$G$9:$G$80))+(($H$9:$H$80=U27)*($G$9:$G$80&gt;$F$9:$F$80))))</f>
        <v>0</v>
      </c>
      <c r="X27" s="12">
        <f>SUMPRODUCT(($O$9:$O$80="D")*ISNUMBER($F$9:$F$80)*ISNUMBER($G$9:$G$80)*((($E$9:$E$80=U27)+($H$9:$H$80=U27))&gt;0)*($F$9:$F$80=$G$9:$G$80))</f>
        <v>0</v>
      </c>
      <c r="Y27" s="12">
        <f>V27-W27-X27</f>
        <v>0</v>
      </c>
      <c r="Z27" s="12">
        <f>SUMPRODUCT(($O$9:$O$80="D")*ISNUMBER($F$9:$F$80)*ISNUMBER($G$9:$G$80)*($E$9:$E$80=U27)*$F$9:$F$80)+SUMPRODUCT(($O$9:$O$80="D")*ISNUMBER($F$9:$F$80)*ISNUMBER($G$9:$G$80)*($H$9:$H$80=U27)*$G$9:$G$80)</f>
        <v>0</v>
      </c>
      <c r="AA27" s="12">
        <f>SUMPRODUCT(($O$9:$O$80="D")*ISNUMBER($F$9:$F$80)*ISNUMBER($G$9:$G$80)*($E$9:$E$80=U27)*$G$9:$G$80)+SUMPRODUCT(($O$9:$O$80="D")*ISNUMBER($F$9:$F$80)*ISNUMBER($G$9:$G$80)*($H$9:$H$80=U27)*$F$9:$F$80)</f>
        <v>0</v>
      </c>
      <c r="AB27" s="12">
        <f>Z27-AA27</f>
        <v>0</v>
      </c>
      <c r="AC27" s="12">
        <f>W27*3+X27</f>
        <v>0</v>
      </c>
      <c r="AD27" s="12">
        <f>IF(COUNTIF($AC$25:$AC$28,AC27)=1,0,SUMPRODUCT(($O$9:$O$80="D")*ISNUMBER($F$9:$F$80)*ISNUMBER($G$9:$G$80)*((($E$9:$E$80=U27)*(((($H$9:$H$80=$U$25)*($AC$25=AC27))+(($H$9:$H$80=$U$26)*($AC$26=AC27))+(($H$9:$H$80=$U$27)*($AC$27=AC27))+(($H$9:$H$80=$U$28)*($AC$28=AC27)) )&gt;0)*(($F$9:$F$80&gt;$G$9:$G$80)*3+($F$9:$F$80=$G$9:$G$80)))+(($H$9:$H$80=U27)*(((($E$9:$E$80=$U$25)*($AC$25=AC27))+(($E$9:$E$80=$U$26)*($AC$26=AC27))+(($E$9:$E$80=$U$27)*($AC$27=AC27))+(($E$9:$E$80=$U$28)*($AC$28=AC27)) )&gt;0)*(($G$9:$G$80&gt;$F$9:$F$80)*3+($F$9:$F$80=$G$9:$G$80))))))</f>
        <v>0</v>
      </c>
      <c r="AE27" s="12">
        <f>IF(COUNTIF($AC$25:$AC$28,AC27)=1,0,SUMPRODUCT(($O$9:$O$80="D")*ISNUMBER($F$9:$F$80)*ISNUMBER($G$9:$G$80)*((($E$9:$E$80=U27)*(((($H$9:$H$80=$U$25)*($AC$25=AC27))+(($H$9:$H$80=$U$26)*($AC$26=AC27))+(($H$9:$H$80=$U$27)*($AC$27=AC27))+(($H$9:$H$80=$U$28)*($AC$28=AC27)) )&gt;0)*($F$9:$F$80-$G$9:$G$80))+(($H$9:$H$80=U27)*(((($E$9:$E$80=$U$25)*($AC$25=AC27))+(($E$9:$E$80=$U$26)*($AC$26=AC27))+(($E$9:$E$80=$U$27)*($AC$27=AC27))+(($E$9:$E$80=$U$28)*($AC$28=AC27)) )&gt;0)*($G$9:$G$80-$F$9:$F$80)))))</f>
        <v>0</v>
      </c>
      <c r="AF27" s="12">
        <f>IF(COUNTIF($AC$25:$AC$28,AC27)=1,0,SUMPRODUCT(($O$9:$O$80="D")*ISNUMBER($F$9:$F$80)*ISNUMBER($G$9:$G$80)*((($E$9:$E$80=U27)*(((($H$9:$H$80=$U$25)*($AC$25=AC27))+(($H$9:$H$80=$U$26)*($AC$26=AC27))+(($H$9:$H$80=$U$27)*($AC$27=AC27))+(($H$9:$H$80=$U$28)*($AC$28=AC27)) )&gt;0)*$F$9:$F$80)+(($H$9:$H$80=U27)*(((($E$9:$E$80=$U$25)*($AC$25=AC27))+(($E$9:$E$80=$U$26)*($AC$26=AC27))+(($E$9:$E$80=$U$27)*($AC$27=AC27))+(($E$9:$E$80=$U$28)*($AC$28=AC27)) )&gt;0)*$G$9:$G$80))))</f>
        <v>0</v>
      </c>
      <c r="AG27" s="12">
        <f>1+SUMPRODUCT(--(($AC$25:$AC$28&gt;AC27)+(($AC$25:$AC$28=AC27)*($AD$25:$AD$28&gt;AD27))+(($AC$25:$AC$28=AC27)*($AD$25:$AD$28=AD27)*($AE$25:$AE$28&gt;AE27))+(($AC$25:$AC$28=AC27)*($AD$25:$AD$28=AD27)*($AE$25:$AE$28=AE27)*($AF$25:$AF$28&gt;AF27))+(($AC$25:$AC$28=AC27)*($AD$25:$AD$28=AD27)*($AE$25:$AE$28=AE27)*($AF$25:$AF$28=AF27)*($AB$25:$AB$28&gt;AB27))+(($AC$25:$AC$28=AC27)*($AD$25:$AD$28=AD27)*($AE$25:$AE$28=AE27)*($AF$25:$AF$28=AF27)*($AB$25:$AB$28=AB27)*($Z$25:$Z$28&gt;Z27))+(($AC$25:$AC$28=AC27)*($AD$25:$AD$28=AD27)*($AE$25:$AE$28=AE27)*($AF$25:$AF$28=AF27)*($AB$25:$AB$28=AB27)*($Z$25:$Z$28=Z27)*($U$25:$U$28&lt;U27))))</f>
        <v>1</v>
      </c>
      <c r="AO27" s="11" t="s">
        <v>162</v>
      </c>
      <c r="AP27" s="11" t="s">
        <v>30</v>
      </c>
      <c r="AQ27" s="11" t="s">
        <v>32</v>
      </c>
      <c r="AR27" s="11" t="s">
        <v>36</v>
      </c>
      <c r="AS27" s="11" t="s">
        <v>33</v>
      </c>
      <c r="AT27" s="11" t="s">
        <v>28</v>
      </c>
      <c r="AU27" s="11" t="s">
        <v>34</v>
      </c>
      <c r="AV27" s="11" t="s">
        <v>50</v>
      </c>
      <c r="AW27" s="11" t="s">
        <v>46</v>
      </c>
      <c r="BD27" s="3">
        <v>2</v>
      </c>
      <c r="BE27" s="3" t="str">
        <f>INDEX($U$46:$U$49,MATCH(2,$AG$46:$AG$49,0))</f>
        <v>Egipto</v>
      </c>
      <c r="BF27" s="3">
        <f>INDEX($V$46:$V$49,MATCH(2,$AG$46:$AG$49,0))</f>
        <v>0</v>
      </c>
      <c r="BG27" s="3">
        <f>INDEX($AB$46:$AB$49,MATCH(2,$AG$46:$AG$49,0))</f>
        <v>0</v>
      </c>
      <c r="BH27" s="3">
        <f>INDEX($AC$46:$AC$49,MATCH(2,$AG$46:$AG$49,0))</f>
        <v>0</v>
      </c>
      <c r="BI27" s="4">
        <v>2</v>
      </c>
      <c r="BJ27" s="4" t="str">
        <f>INDEX($U$53:$U$56,MATCH(2,$AG$53:$AG$56,0))</f>
        <v>Cabo Verde</v>
      </c>
      <c r="BK27" s="4">
        <f>INDEX($V$53:$V$56,MATCH(2,$AG$53:$AG$56,0))</f>
        <v>0</v>
      </c>
      <c r="BL27" s="4">
        <f>INDEX($AB$53:$AB$56,MATCH(2,$AG$53:$AG$56,0))</f>
        <v>0</v>
      </c>
      <c r="BM27" s="4">
        <f>INDEX($AC$53:$AC$56,MATCH(2,$AG$53:$AG$56,0))</f>
        <v>0</v>
      </c>
      <c r="BN27" s="5">
        <v>2</v>
      </c>
      <c r="BO27" s="5" t="str">
        <f>INDEX($U$60:$U$63,MATCH(2,$AG$60:$AG$63,0))</f>
        <v>Irak</v>
      </c>
      <c r="BP27" s="5">
        <f>INDEX($V$60:$V$63,MATCH(2,$AG$60:$AG$63,0))</f>
        <v>0</v>
      </c>
      <c r="BQ27" s="5">
        <f>INDEX($AB$60:$AB$63,MATCH(2,$AG$60:$AG$63,0))</f>
        <v>0</v>
      </c>
      <c r="BR27" s="5">
        <f>INDEX($AC$60:$AC$63,MATCH(2,$AG$60:$AG$63,0))</f>
        <v>0</v>
      </c>
    </row>
    <row r="28" spans="1:82" x14ac:dyDescent="0.25">
      <c r="A28" s="2" t="str">
        <f t="shared" si="2"/>
        <v>martes</v>
      </c>
      <c r="B28" s="14">
        <f t="shared" si="3"/>
        <v>46189.915972222218</v>
      </c>
      <c r="C28" s="15">
        <f t="shared" si="4"/>
        <v>46189.915972222218</v>
      </c>
      <c r="D28" s="2" t="s">
        <v>159</v>
      </c>
      <c r="E28" s="2" t="s">
        <v>163</v>
      </c>
      <c r="F28" s="13"/>
      <c r="G28" s="13"/>
      <c r="H28" s="2" t="s">
        <v>164</v>
      </c>
      <c r="I28" s="2">
        <v>20</v>
      </c>
      <c r="J28" s="7" t="s">
        <v>101</v>
      </c>
      <c r="K28" s="23"/>
      <c r="L28" s="24"/>
      <c r="M28" s="25"/>
      <c r="N28" s="8">
        <f t="shared" si="5"/>
        <v>46189.915972222218</v>
      </c>
      <c r="O28" s="9" t="s">
        <v>50</v>
      </c>
      <c r="P28" s="16">
        <v>46189.999305555553</v>
      </c>
      <c r="U28" s="12" t="s">
        <v>112</v>
      </c>
      <c r="V28" s="12">
        <f>SUMPRODUCT(($O$9:$O$80="D")*((($E$9:$E$80=U28)+($H$9:$H$80=U28))&gt;0)*ISNUMBER($F$9:$F$80)*ISNUMBER($G$9:$G$80))</f>
        <v>0</v>
      </c>
      <c r="W28" s="12">
        <f>SUMPRODUCT(($O$9:$O$80="D")*ISNUMBER($F$9:$F$80)*ISNUMBER($G$9:$G$80)*((($E$9:$E$80=U28)*($F$9:$F$80&gt;$G$9:$G$80))+(($H$9:$H$80=U28)*($G$9:$G$80&gt;$F$9:$F$80))))</f>
        <v>0</v>
      </c>
      <c r="X28" s="12">
        <f>SUMPRODUCT(($O$9:$O$80="D")*ISNUMBER($F$9:$F$80)*ISNUMBER($G$9:$G$80)*((($E$9:$E$80=U28)+($H$9:$H$80=U28))&gt;0)*($F$9:$F$80=$G$9:$G$80))</f>
        <v>0</v>
      </c>
      <c r="Y28" s="12">
        <f>V28-W28-X28</f>
        <v>0</v>
      </c>
      <c r="Z28" s="12">
        <f>SUMPRODUCT(($O$9:$O$80="D")*ISNUMBER($F$9:$F$80)*ISNUMBER($G$9:$G$80)*($E$9:$E$80=U28)*$F$9:$F$80)+SUMPRODUCT(($O$9:$O$80="D")*ISNUMBER($F$9:$F$80)*ISNUMBER($G$9:$G$80)*($H$9:$H$80=U28)*$G$9:$G$80)</f>
        <v>0</v>
      </c>
      <c r="AA28" s="12">
        <f>SUMPRODUCT(($O$9:$O$80="D")*ISNUMBER($F$9:$F$80)*ISNUMBER($G$9:$G$80)*($E$9:$E$80=U28)*$G$9:$G$80)+SUMPRODUCT(($O$9:$O$80="D")*ISNUMBER($F$9:$F$80)*ISNUMBER($G$9:$G$80)*($H$9:$H$80=U28)*$F$9:$F$80)</f>
        <v>0</v>
      </c>
      <c r="AB28" s="12">
        <f>Z28-AA28</f>
        <v>0</v>
      </c>
      <c r="AC28" s="12">
        <f>W28*3+X28</f>
        <v>0</v>
      </c>
      <c r="AD28" s="12">
        <f>IF(COUNTIF($AC$25:$AC$28,AC28)=1,0,SUMPRODUCT(($O$9:$O$80="D")*ISNUMBER($F$9:$F$80)*ISNUMBER($G$9:$G$80)*((($E$9:$E$80=U28)*(((($H$9:$H$80=$U$25)*($AC$25=AC28))+(($H$9:$H$80=$U$26)*($AC$26=AC28))+(($H$9:$H$80=$U$27)*($AC$27=AC28))+(($H$9:$H$80=$U$28)*($AC$28=AC28)) )&gt;0)*(($F$9:$F$80&gt;$G$9:$G$80)*3+($F$9:$F$80=$G$9:$G$80)))+(($H$9:$H$80=U28)*(((($E$9:$E$80=$U$25)*($AC$25=AC28))+(($E$9:$E$80=$U$26)*($AC$26=AC28))+(($E$9:$E$80=$U$27)*($AC$27=AC28))+(($E$9:$E$80=$U$28)*($AC$28=AC28)) )&gt;0)*(($G$9:$G$80&gt;$F$9:$F$80)*3+($F$9:$F$80=$G$9:$G$80))))))</f>
        <v>0</v>
      </c>
      <c r="AE28" s="12">
        <f>IF(COUNTIF($AC$25:$AC$28,AC28)=1,0,SUMPRODUCT(($O$9:$O$80="D")*ISNUMBER($F$9:$F$80)*ISNUMBER($G$9:$G$80)*((($E$9:$E$80=U28)*(((($H$9:$H$80=$U$25)*($AC$25=AC28))+(($H$9:$H$80=$U$26)*($AC$26=AC28))+(($H$9:$H$80=$U$27)*($AC$27=AC28))+(($H$9:$H$80=$U$28)*($AC$28=AC28)) )&gt;0)*($F$9:$F$80-$G$9:$G$80))+(($H$9:$H$80=U28)*(((($E$9:$E$80=$U$25)*($AC$25=AC28))+(($E$9:$E$80=$U$26)*($AC$26=AC28))+(($E$9:$E$80=$U$27)*($AC$27=AC28))+(($E$9:$E$80=$U$28)*($AC$28=AC28)) )&gt;0)*($G$9:$G$80-$F$9:$F$80)))))</f>
        <v>0</v>
      </c>
      <c r="AF28" s="12">
        <f>IF(COUNTIF($AC$25:$AC$28,AC28)=1,0,SUMPRODUCT(($O$9:$O$80="D")*ISNUMBER($F$9:$F$80)*ISNUMBER($G$9:$G$80)*((($E$9:$E$80=U28)*(((($H$9:$H$80=$U$25)*($AC$25=AC28))+(($H$9:$H$80=$U$26)*($AC$26=AC28))+(($H$9:$H$80=$U$27)*($AC$27=AC28))+(($H$9:$H$80=$U$28)*($AC$28=AC28)) )&gt;0)*$F$9:$F$80)+(($H$9:$H$80=U28)*(((($E$9:$E$80=$U$25)*($AC$25=AC28))+(($E$9:$E$80=$U$26)*($AC$26=AC28))+(($E$9:$E$80=$U$27)*($AC$27=AC28))+(($E$9:$E$80=$U$28)*($AC$28=AC28)) )&gt;0)*$G$9:$G$80))))</f>
        <v>0</v>
      </c>
      <c r="AG28" s="12">
        <f>1+SUMPRODUCT(--(($AC$25:$AC$28&gt;AC28)+(($AC$25:$AC$28=AC28)*($AD$25:$AD$28&gt;AD28))+(($AC$25:$AC$28=AC28)*($AD$25:$AD$28=AD28)*($AE$25:$AE$28&gt;AE28))+(($AC$25:$AC$28=AC28)*($AD$25:$AD$28=AD28)*($AE$25:$AE$28=AE28)*($AF$25:$AF$28&gt;AF28))+(($AC$25:$AC$28=AC28)*($AD$25:$AD$28=AD28)*($AE$25:$AE$28=AE28)*($AF$25:$AF$28=AF28)*($AB$25:$AB$28&gt;AB28))+(($AC$25:$AC$28=AC28)*($AD$25:$AD$28=AD28)*($AE$25:$AE$28=AE28)*($AF$25:$AF$28=AF28)*($AB$25:$AB$28=AB28)*($Z$25:$Z$28&gt;Z28))+(($AC$25:$AC$28=AC28)*($AD$25:$AD$28=AD28)*($AE$25:$AE$28=AE28)*($AF$25:$AF$28=AF28)*($AB$25:$AB$28=AB28)*($Z$25:$Z$28=Z28)*($U$25:$U$28&lt;U28))))</f>
        <v>4</v>
      </c>
      <c r="AO28" s="11" t="s">
        <v>165</v>
      </c>
      <c r="AP28" s="11" t="s">
        <v>30</v>
      </c>
      <c r="AQ28" s="11" t="s">
        <v>32</v>
      </c>
      <c r="AR28" s="11" t="s">
        <v>33</v>
      </c>
      <c r="AS28" s="11" t="s">
        <v>55</v>
      </c>
      <c r="AT28" s="11" t="s">
        <v>28</v>
      </c>
      <c r="AU28" s="11" t="s">
        <v>34</v>
      </c>
      <c r="AV28" s="11" t="s">
        <v>36</v>
      </c>
      <c r="AW28" s="11" t="s">
        <v>46</v>
      </c>
      <c r="BD28" s="3">
        <v>3</v>
      </c>
      <c r="BE28" s="3" t="str">
        <f>INDEX($U$46:$U$49,MATCH(3,$AG$46:$AG$49,0))</f>
        <v>Irán</v>
      </c>
      <c r="BF28" s="3">
        <f>INDEX($V$46:$V$49,MATCH(3,$AG$46:$AG$49,0))</f>
        <v>0</v>
      </c>
      <c r="BG28" s="3">
        <f>INDEX($AB$46:$AB$49,MATCH(3,$AG$46:$AG$49,0))</f>
        <v>0</v>
      </c>
      <c r="BH28" s="3">
        <f>INDEX($AC$46:$AC$49,MATCH(3,$AG$46:$AG$49,0))</f>
        <v>0</v>
      </c>
      <c r="BI28" s="4">
        <v>3</v>
      </c>
      <c r="BJ28" s="4" t="str">
        <f>INDEX($U$53:$U$56,MATCH(3,$AG$53:$AG$56,0))</f>
        <v>España</v>
      </c>
      <c r="BK28" s="4">
        <f>INDEX($V$53:$V$56,MATCH(3,$AG$53:$AG$56,0))</f>
        <v>0</v>
      </c>
      <c r="BL28" s="4">
        <f>INDEX($AB$53:$AB$56,MATCH(3,$AG$53:$AG$56,0))</f>
        <v>0</v>
      </c>
      <c r="BM28" s="4">
        <f>INDEX($AC$53:$AC$56,MATCH(3,$AG$53:$AG$56,0))</f>
        <v>0</v>
      </c>
      <c r="BN28" s="5">
        <v>3</v>
      </c>
      <c r="BO28" s="5" t="str">
        <f>INDEX($U$60:$U$63,MATCH(3,$AG$60:$AG$63,0))</f>
        <v>Noruega</v>
      </c>
      <c r="BP28" s="5">
        <f>INDEX($V$60:$V$63,MATCH(3,$AG$60:$AG$63,0))</f>
        <v>0</v>
      </c>
      <c r="BQ28" s="5">
        <f>INDEX($AB$60:$AB$63,MATCH(3,$AG$60:$AG$63,0))</f>
        <v>0</v>
      </c>
      <c r="BR28" s="5">
        <f>INDEX($AC$60:$AC$63,MATCH(3,$AG$60:$AG$63,0))</f>
        <v>0</v>
      </c>
    </row>
    <row r="29" spans="1:82" x14ac:dyDescent="0.25">
      <c r="A29" s="2" t="str">
        <f t="shared" si="2"/>
        <v>miércoles</v>
      </c>
      <c r="B29" s="14">
        <f t="shared" si="3"/>
        <v>46190.458333333321</v>
      </c>
      <c r="C29" s="15">
        <f t="shared" si="4"/>
        <v>46190.458333333321</v>
      </c>
      <c r="D29" s="2" t="s">
        <v>166</v>
      </c>
      <c r="E29" s="2" t="s">
        <v>167</v>
      </c>
      <c r="F29" s="13"/>
      <c r="G29" s="13"/>
      <c r="H29" s="2" t="s">
        <v>168</v>
      </c>
      <c r="I29" s="2">
        <v>23</v>
      </c>
      <c r="J29" s="7" t="s">
        <v>119</v>
      </c>
      <c r="K29" s="23"/>
      <c r="L29" s="24"/>
      <c r="M29" s="25"/>
      <c r="N29" s="8">
        <f t="shared" si="5"/>
        <v>46190.458333333321</v>
      </c>
      <c r="O29" s="9" t="s">
        <v>55</v>
      </c>
      <c r="P29" s="16">
        <v>46190.541666666657</v>
      </c>
      <c r="AO29" s="11" t="s">
        <v>169</v>
      </c>
      <c r="AP29" s="11" t="s">
        <v>30</v>
      </c>
      <c r="AQ29" s="11" t="s">
        <v>32</v>
      </c>
      <c r="AR29" s="11" t="s">
        <v>36</v>
      </c>
      <c r="AS29" s="11" t="s">
        <v>33</v>
      </c>
      <c r="AT29" s="11" t="s">
        <v>28</v>
      </c>
      <c r="AU29" s="11" t="s">
        <v>34</v>
      </c>
      <c r="AV29" s="11" t="s">
        <v>46</v>
      </c>
      <c r="AW29" s="11" t="s">
        <v>60</v>
      </c>
      <c r="BD29" s="3">
        <v>4</v>
      </c>
      <c r="BE29" s="3" t="str">
        <f>INDEX($U$46:$U$49,MATCH(4,$AG$46:$AG$49,0))</f>
        <v>Nueva Zelanda</v>
      </c>
      <c r="BF29" s="3">
        <f>INDEX($V$46:$V$49,MATCH(4,$AG$46:$AG$49,0))</f>
        <v>0</v>
      </c>
      <c r="BG29" s="3">
        <f>INDEX($AB$46:$AB$49,MATCH(4,$AG$46:$AG$49,0))</f>
        <v>0</v>
      </c>
      <c r="BH29" s="3">
        <f>INDEX($AC$46:$AC$49,MATCH(4,$AG$46:$AG$49,0))</f>
        <v>0</v>
      </c>
      <c r="BI29" s="4">
        <v>4</v>
      </c>
      <c r="BJ29" s="4" t="str">
        <f>INDEX($U$53:$U$56,MATCH(4,$AG$53:$AG$56,0))</f>
        <v>Uruguay</v>
      </c>
      <c r="BK29" s="4">
        <f>INDEX($V$53:$V$56,MATCH(4,$AG$53:$AG$56,0))</f>
        <v>0</v>
      </c>
      <c r="BL29" s="4">
        <f>INDEX($AB$53:$AB$56,MATCH(4,$AG$53:$AG$56,0))</f>
        <v>0</v>
      </c>
      <c r="BM29" s="4">
        <f>INDEX($AC$53:$AC$56,MATCH(4,$AG$53:$AG$56,0))</f>
        <v>0</v>
      </c>
      <c r="BN29" s="5">
        <v>4</v>
      </c>
      <c r="BO29" s="5" t="str">
        <f>INDEX($U$60:$U$63,MATCH(4,$AG$60:$AG$63,0))</f>
        <v>Senegal</v>
      </c>
      <c r="BP29" s="5">
        <f>INDEX($V$60:$V$63,MATCH(4,$AG$60:$AG$63,0))</f>
        <v>0</v>
      </c>
      <c r="BQ29" s="5">
        <f>INDEX($AB$60:$AB$63,MATCH(4,$AG$60:$AG$63,0))</f>
        <v>0</v>
      </c>
      <c r="BR29" s="5">
        <f>INDEX($AC$60:$AC$63,MATCH(4,$AG$60:$AG$63,0))</f>
        <v>0</v>
      </c>
    </row>
    <row r="30" spans="1:82" x14ac:dyDescent="0.25">
      <c r="A30" s="2" t="str">
        <f t="shared" si="2"/>
        <v>miércoles</v>
      </c>
      <c r="B30" s="14">
        <f t="shared" si="3"/>
        <v>46190.583333333321</v>
      </c>
      <c r="C30" s="15">
        <f t="shared" si="4"/>
        <v>46190.583333333321</v>
      </c>
      <c r="D30" s="2" t="s">
        <v>170</v>
      </c>
      <c r="E30" s="2" t="s">
        <v>171</v>
      </c>
      <c r="F30" s="13"/>
      <c r="G30" s="13"/>
      <c r="H30" s="2" t="s">
        <v>172</v>
      </c>
      <c r="I30" s="2">
        <v>21</v>
      </c>
      <c r="J30" s="7" t="s">
        <v>123</v>
      </c>
      <c r="K30" s="23"/>
      <c r="L30" s="24"/>
      <c r="M30" s="25"/>
      <c r="N30" s="8">
        <f t="shared" si="5"/>
        <v>46190.583333333321</v>
      </c>
      <c r="O30" s="9" t="s">
        <v>60</v>
      </c>
      <c r="P30" s="16">
        <v>46190.666666666657</v>
      </c>
      <c r="AO30" s="11" t="s">
        <v>173</v>
      </c>
      <c r="AP30" s="11" t="s">
        <v>30</v>
      </c>
      <c r="AQ30" s="11" t="s">
        <v>32</v>
      </c>
      <c r="AR30" s="11" t="s">
        <v>33</v>
      </c>
      <c r="AS30" s="11" t="s">
        <v>55</v>
      </c>
      <c r="AT30" s="11" t="s">
        <v>28</v>
      </c>
      <c r="AU30" s="11" t="s">
        <v>34</v>
      </c>
      <c r="AV30" s="11" t="s">
        <v>50</v>
      </c>
      <c r="AW30" s="11" t="s">
        <v>36</v>
      </c>
    </row>
    <row r="31" spans="1:82" x14ac:dyDescent="0.25">
      <c r="A31" s="2" t="str">
        <f t="shared" si="2"/>
        <v>miércoles</v>
      </c>
      <c r="B31" s="14">
        <f t="shared" si="3"/>
        <v>46190.708333333321</v>
      </c>
      <c r="C31" s="15">
        <f t="shared" si="4"/>
        <v>46190.708333333321</v>
      </c>
      <c r="D31" s="2" t="s">
        <v>170</v>
      </c>
      <c r="E31" s="2" t="s">
        <v>174</v>
      </c>
      <c r="F31" s="13"/>
      <c r="G31" s="13"/>
      <c r="H31" s="2" t="s">
        <v>175</v>
      </c>
      <c r="I31" s="2">
        <v>22</v>
      </c>
      <c r="J31" s="7" t="s">
        <v>92</v>
      </c>
      <c r="K31" s="23"/>
      <c r="L31" s="24"/>
      <c r="M31" s="25"/>
      <c r="N31" s="8">
        <f t="shared" si="5"/>
        <v>46190.708333333321</v>
      </c>
      <c r="O31" s="9" t="s">
        <v>60</v>
      </c>
      <c r="P31" s="16">
        <v>46190.791666666657</v>
      </c>
      <c r="U31" s="12" t="s">
        <v>4</v>
      </c>
      <c r="V31" s="12" t="s">
        <v>39</v>
      </c>
      <c r="W31" s="12" t="s">
        <v>31</v>
      </c>
      <c r="X31" s="12" t="s">
        <v>36</v>
      </c>
      <c r="Y31" s="12" t="s">
        <v>40</v>
      </c>
      <c r="Z31" s="12" t="s">
        <v>7</v>
      </c>
      <c r="AA31" s="12" t="s">
        <v>41</v>
      </c>
      <c r="AB31" s="12" t="s">
        <v>6</v>
      </c>
      <c r="AC31" s="12" t="s">
        <v>5</v>
      </c>
      <c r="AD31" s="12" t="s">
        <v>42</v>
      </c>
      <c r="AE31" s="12" t="s">
        <v>43</v>
      </c>
      <c r="AF31" s="12" t="s">
        <v>44</v>
      </c>
      <c r="AG31" s="12" t="s">
        <v>8</v>
      </c>
      <c r="AO31" s="11" t="s">
        <v>176</v>
      </c>
      <c r="AP31" s="11" t="s">
        <v>30</v>
      </c>
      <c r="AQ31" s="11" t="s">
        <v>32</v>
      </c>
      <c r="AR31" s="11" t="s">
        <v>36</v>
      </c>
      <c r="AS31" s="11" t="s">
        <v>33</v>
      </c>
      <c r="AT31" s="11" t="s">
        <v>28</v>
      </c>
      <c r="AU31" s="11" t="s">
        <v>34</v>
      </c>
      <c r="AV31" s="11" t="s">
        <v>50</v>
      </c>
      <c r="AW31" s="11" t="s">
        <v>60</v>
      </c>
    </row>
    <row r="32" spans="1:82" x14ac:dyDescent="0.25">
      <c r="A32" s="2" t="str">
        <f t="shared" si="2"/>
        <v>miércoles</v>
      </c>
      <c r="B32" s="14">
        <f t="shared" si="3"/>
        <v>46190.833333333321</v>
      </c>
      <c r="C32" s="15">
        <f t="shared" si="4"/>
        <v>46190.833333333321</v>
      </c>
      <c r="D32" s="2" t="s">
        <v>166</v>
      </c>
      <c r="E32" s="2" t="s">
        <v>177</v>
      </c>
      <c r="F32" s="13"/>
      <c r="G32" s="13"/>
      <c r="H32" s="2" t="s">
        <v>57</v>
      </c>
      <c r="I32" s="2">
        <v>24</v>
      </c>
      <c r="J32" s="7" t="s">
        <v>83</v>
      </c>
      <c r="K32" s="23"/>
      <c r="L32" s="24"/>
      <c r="M32" s="25"/>
      <c r="N32" s="8">
        <f t="shared" si="5"/>
        <v>46190.833333333321</v>
      </c>
      <c r="O32" s="9" t="s">
        <v>55</v>
      </c>
      <c r="P32" s="16">
        <v>46190.916666666657</v>
      </c>
      <c r="U32" s="12" t="s">
        <v>117</v>
      </c>
      <c r="V32" s="12">
        <f>SUMPRODUCT(($O$9:$O$80="E")*((($E$9:$E$80=U32)+($H$9:$H$80=U32))&gt;0)*ISNUMBER($F$9:$F$80)*ISNUMBER($G$9:$G$80))</f>
        <v>0</v>
      </c>
      <c r="W32" s="12">
        <f>SUMPRODUCT(($O$9:$O$80="E")*ISNUMBER($F$9:$F$80)*ISNUMBER($G$9:$G$80)*((($E$9:$E$80=U32)*($F$9:$F$80&gt;$G$9:$G$80))+(($H$9:$H$80=U32)*($G$9:$G$80&gt;$F$9:$F$80))))</f>
        <v>0</v>
      </c>
      <c r="X32" s="12">
        <f>SUMPRODUCT(($O$9:$O$80="E")*ISNUMBER($F$9:$F$80)*ISNUMBER($G$9:$G$80)*((($E$9:$E$80=U32)+($H$9:$H$80=U32))&gt;0)*($F$9:$F$80=$G$9:$G$80))</f>
        <v>0</v>
      </c>
      <c r="Y32" s="12">
        <f>V32-W32-X32</f>
        <v>0</v>
      </c>
      <c r="Z32" s="12">
        <f>SUMPRODUCT(($O$9:$O$80="E")*ISNUMBER($F$9:$F$80)*ISNUMBER($G$9:$G$80)*($E$9:$E$80=U32)*$F$9:$F$80)+SUMPRODUCT(($O$9:$O$80="E")*ISNUMBER($F$9:$F$80)*ISNUMBER($G$9:$G$80)*($H$9:$H$80=U32)*$G$9:$G$80)</f>
        <v>0</v>
      </c>
      <c r="AA32" s="12">
        <f>SUMPRODUCT(($O$9:$O$80="E")*ISNUMBER($F$9:$F$80)*ISNUMBER($G$9:$G$80)*($E$9:$E$80=U32)*$G$9:$G$80)+SUMPRODUCT(($O$9:$O$80="E")*ISNUMBER($F$9:$F$80)*ISNUMBER($G$9:$G$80)*($H$9:$H$80=U32)*$F$9:$F$80)</f>
        <v>0</v>
      </c>
      <c r="AB32" s="12">
        <f>Z32-AA32</f>
        <v>0</v>
      </c>
      <c r="AC32" s="12">
        <f>W32*3+X32</f>
        <v>0</v>
      </c>
      <c r="AD32" s="12">
        <f>IF(COUNTIF($AC$32:$AC$35,AC32)=1,0,SUMPRODUCT(($O$9:$O$80="E")*ISNUMBER($F$9:$F$80)*ISNUMBER($G$9:$G$80)*((($E$9:$E$80=U32)*(((($H$9:$H$80=$U$32)*($AC$32=AC32))+(($H$9:$H$80=$U$33)*($AC$33=AC32))+(($H$9:$H$80=$U$34)*($AC$34=AC32))+(($H$9:$H$80=$U$35)*($AC$35=AC32)) )&gt;0)*(($F$9:$F$80&gt;$G$9:$G$80)*3+($F$9:$F$80=$G$9:$G$80)))+(($H$9:$H$80=U32)*(((($E$9:$E$80=$U$32)*($AC$32=AC32))+(($E$9:$E$80=$U$33)*($AC$33=AC32))+(($E$9:$E$80=$U$34)*($AC$34=AC32))+(($E$9:$E$80=$U$35)*($AC$35=AC32)) )&gt;0)*(($G$9:$G$80&gt;$F$9:$F$80)*3+($F$9:$F$80=$G$9:$G$80))))))</f>
        <v>0</v>
      </c>
      <c r="AE32" s="12">
        <f>IF(COUNTIF($AC$32:$AC$35,AC32)=1,0,SUMPRODUCT(($O$9:$O$80="E")*ISNUMBER($F$9:$F$80)*ISNUMBER($G$9:$G$80)*((($E$9:$E$80=U32)*(((($H$9:$H$80=$U$32)*($AC$32=AC32))+(($H$9:$H$80=$U$33)*($AC$33=AC32))+(($H$9:$H$80=$U$34)*($AC$34=AC32))+(($H$9:$H$80=$U$35)*($AC$35=AC32)) )&gt;0)*($F$9:$F$80-$G$9:$G$80))+(($H$9:$H$80=U32)*(((($E$9:$E$80=$U$32)*($AC$32=AC32))+(($E$9:$E$80=$U$33)*($AC$33=AC32))+(($E$9:$E$80=$U$34)*($AC$34=AC32))+(($E$9:$E$80=$U$35)*($AC$35=AC32)) )&gt;0)*($G$9:$G$80-$F$9:$F$80)))))</f>
        <v>0</v>
      </c>
      <c r="AF32" s="12">
        <f>IF(COUNTIF($AC$32:$AC$35,AC32)=1,0,SUMPRODUCT(($O$9:$O$80="E")*ISNUMBER($F$9:$F$80)*ISNUMBER($G$9:$G$80)*((($E$9:$E$80=U32)*(((($H$9:$H$80=$U$32)*($AC$32=AC32))+(($H$9:$H$80=$U$33)*($AC$33=AC32))+(($H$9:$H$80=$U$34)*($AC$34=AC32))+(($H$9:$H$80=$U$35)*($AC$35=AC32)) )&gt;0)*$F$9:$F$80)+(($H$9:$H$80=U32)*(((($E$9:$E$80=$U$32)*($AC$32=AC32))+(($E$9:$E$80=$U$33)*($AC$33=AC32))+(($E$9:$E$80=$U$34)*($AC$34=AC32))+(($E$9:$E$80=$U$35)*($AC$35=AC32)) )&gt;0)*$G$9:$G$80))))</f>
        <v>0</v>
      </c>
      <c r="AG32" s="12">
        <f>1+SUMPRODUCT(--(($AC$32:$AC$35&gt;AC32)+(($AC$32:$AC$35=AC32)*($AD$32:$AD$35&gt;AD32))+(($AC$32:$AC$35=AC32)*($AD$32:$AD$35=AD32)*($AE$32:$AE$35&gt;AE32))+(($AC$32:$AC$35=AC32)*($AD$32:$AD$35=AD32)*($AE$32:$AE$35=AE32)*($AF$32:$AF$35&gt;AF32))+(($AC$32:$AC$35=AC32)*($AD$32:$AD$35=AD32)*($AE$32:$AE$35=AE32)*($AF$32:$AF$35=AF32)*($AB$32:$AB$35&gt;AB32))+(($AC$32:$AC$35=AC32)*($AD$32:$AD$35=AD32)*($AE$32:$AE$35=AE32)*($AF$32:$AF$35=AF32)*($AB$32:$AB$35=AB32)*($Z$32:$Z$35&gt;Z32))+(($AC$32:$AC$35=AC32)*($AD$32:$AD$35=AD32)*($AE$32:$AE$35=AE32)*($AF$32:$AF$35=AF32)*($AB$32:$AB$35=AB32)*($Z$32:$Z$35=Z32)*($U$32:$U$35&lt;U32))))</f>
        <v>1</v>
      </c>
      <c r="AO32" s="11" t="s">
        <v>178</v>
      </c>
      <c r="AP32" s="11" t="s">
        <v>30</v>
      </c>
      <c r="AQ32" s="11" t="s">
        <v>32</v>
      </c>
      <c r="AR32" s="11" t="s">
        <v>33</v>
      </c>
      <c r="AS32" s="11" t="s">
        <v>55</v>
      </c>
      <c r="AT32" s="11" t="s">
        <v>28</v>
      </c>
      <c r="AU32" s="11" t="s">
        <v>34</v>
      </c>
      <c r="AV32" s="11" t="s">
        <v>36</v>
      </c>
      <c r="AW32" s="11" t="s">
        <v>60</v>
      </c>
      <c r="BD32" s="28" t="s">
        <v>159</v>
      </c>
      <c r="BE32" s="29"/>
      <c r="BF32" s="29"/>
      <c r="BG32" s="29"/>
      <c r="BH32" s="30"/>
      <c r="BI32" s="28" t="s">
        <v>166</v>
      </c>
      <c r="BJ32" s="29"/>
      <c r="BK32" s="29"/>
      <c r="BL32" s="29"/>
      <c r="BM32" s="30"/>
      <c r="BN32" s="28" t="s">
        <v>170</v>
      </c>
      <c r="BO32" s="29"/>
      <c r="BP32" s="29"/>
      <c r="BQ32" s="29"/>
      <c r="BR32" s="30"/>
    </row>
    <row r="33" spans="1:70" x14ac:dyDescent="0.25">
      <c r="A33" s="2" t="str">
        <f t="shared" si="2"/>
        <v>jueves</v>
      </c>
      <c r="B33" s="14">
        <f t="shared" si="3"/>
        <v>46191.416666666664</v>
      </c>
      <c r="C33" s="15">
        <f t="shared" si="4"/>
        <v>46191.416666666664</v>
      </c>
      <c r="D33" s="2" t="s">
        <v>79</v>
      </c>
      <c r="E33" s="2" t="s">
        <v>63</v>
      </c>
      <c r="F33" s="13"/>
      <c r="G33" s="13"/>
      <c r="H33" s="2" t="s">
        <v>53</v>
      </c>
      <c r="I33" s="2">
        <v>25</v>
      </c>
      <c r="J33" s="7" t="s">
        <v>134</v>
      </c>
      <c r="K33" s="23"/>
      <c r="L33" s="24"/>
      <c r="M33" s="25"/>
      <c r="N33" s="8">
        <f t="shared" si="5"/>
        <v>46191.416666666664</v>
      </c>
      <c r="O33" s="9" t="s">
        <v>28</v>
      </c>
      <c r="P33" s="16">
        <v>46191.5</v>
      </c>
      <c r="U33" s="12" t="s">
        <v>118</v>
      </c>
      <c r="V33" s="12">
        <f>SUMPRODUCT(($O$9:$O$80="E")*((($E$9:$E$80=U33)+($H$9:$H$80=U33))&gt;0)*ISNUMBER($F$9:$F$80)*ISNUMBER($G$9:$G$80))</f>
        <v>0</v>
      </c>
      <c r="W33" s="12">
        <f>SUMPRODUCT(($O$9:$O$80="E")*ISNUMBER($F$9:$F$80)*ISNUMBER($G$9:$G$80)*((($E$9:$E$80=U33)*($F$9:$F$80&gt;$G$9:$G$80))+(($H$9:$H$80=U33)*($G$9:$G$80&gt;$F$9:$F$80))))</f>
        <v>0</v>
      </c>
      <c r="X33" s="12">
        <f>SUMPRODUCT(($O$9:$O$80="E")*ISNUMBER($F$9:$F$80)*ISNUMBER($G$9:$G$80)*((($E$9:$E$80=U33)+($H$9:$H$80=U33))&gt;0)*($F$9:$F$80=$G$9:$G$80))</f>
        <v>0</v>
      </c>
      <c r="Y33" s="12">
        <f>V33-W33-X33</f>
        <v>0</v>
      </c>
      <c r="Z33" s="12">
        <f>SUMPRODUCT(($O$9:$O$80="E")*ISNUMBER($F$9:$F$80)*ISNUMBER($G$9:$G$80)*($E$9:$E$80=U33)*$F$9:$F$80)+SUMPRODUCT(($O$9:$O$80="E")*ISNUMBER($F$9:$F$80)*ISNUMBER($G$9:$G$80)*($H$9:$H$80=U33)*$G$9:$G$80)</f>
        <v>0</v>
      </c>
      <c r="AA33" s="12">
        <f>SUMPRODUCT(($O$9:$O$80="E")*ISNUMBER($F$9:$F$80)*ISNUMBER($G$9:$G$80)*($E$9:$E$80=U33)*$G$9:$G$80)+SUMPRODUCT(($O$9:$O$80="E")*ISNUMBER($F$9:$F$80)*ISNUMBER($G$9:$G$80)*($H$9:$H$80=U33)*$F$9:$F$80)</f>
        <v>0</v>
      </c>
      <c r="AB33" s="12">
        <f>Z33-AA33</f>
        <v>0</v>
      </c>
      <c r="AC33" s="12">
        <f>W33*3+X33</f>
        <v>0</v>
      </c>
      <c r="AD33" s="12">
        <f>IF(COUNTIF($AC$32:$AC$35,AC33)=1,0,SUMPRODUCT(($O$9:$O$80="E")*ISNUMBER($F$9:$F$80)*ISNUMBER($G$9:$G$80)*((($E$9:$E$80=U33)*(((($H$9:$H$80=$U$32)*($AC$32=AC33))+(($H$9:$H$80=$U$33)*($AC$33=AC33))+(($H$9:$H$80=$U$34)*($AC$34=AC33))+(($H$9:$H$80=$U$35)*($AC$35=AC33)) )&gt;0)*(($F$9:$F$80&gt;$G$9:$G$80)*3+($F$9:$F$80=$G$9:$G$80)))+(($H$9:$H$80=U33)*(((($E$9:$E$80=$U$32)*($AC$32=AC33))+(($E$9:$E$80=$U$33)*($AC$33=AC33))+(($E$9:$E$80=$U$34)*($AC$34=AC33))+(($E$9:$E$80=$U$35)*($AC$35=AC33)) )&gt;0)*(($G$9:$G$80&gt;$F$9:$F$80)*3+($F$9:$F$80=$G$9:$G$80))))))</f>
        <v>0</v>
      </c>
      <c r="AE33" s="12">
        <f>IF(COUNTIF($AC$32:$AC$35,AC33)=1,0,SUMPRODUCT(($O$9:$O$80="E")*ISNUMBER($F$9:$F$80)*ISNUMBER($G$9:$G$80)*((($E$9:$E$80=U33)*(((($H$9:$H$80=$U$32)*($AC$32=AC33))+(($H$9:$H$80=$U$33)*($AC$33=AC33))+(($H$9:$H$80=$U$34)*($AC$34=AC33))+(($H$9:$H$80=$U$35)*($AC$35=AC33)) )&gt;0)*($F$9:$F$80-$G$9:$G$80))+(($H$9:$H$80=U33)*(((($E$9:$E$80=$U$32)*($AC$32=AC33))+(($E$9:$E$80=$U$33)*($AC$33=AC33))+(($E$9:$E$80=$U$34)*($AC$34=AC33))+(($E$9:$E$80=$U$35)*($AC$35=AC33)) )&gt;0)*($G$9:$G$80-$F$9:$F$80)))))</f>
        <v>0</v>
      </c>
      <c r="AF33" s="12">
        <f>IF(COUNTIF($AC$32:$AC$35,AC33)=1,0,SUMPRODUCT(($O$9:$O$80="E")*ISNUMBER($F$9:$F$80)*ISNUMBER($G$9:$G$80)*((($E$9:$E$80=U33)*(((($H$9:$H$80=$U$32)*($AC$32=AC33))+(($H$9:$H$80=$U$33)*($AC$33=AC33))+(($H$9:$H$80=$U$34)*($AC$34=AC33))+(($H$9:$H$80=$U$35)*($AC$35=AC33)) )&gt;0)*$F$9:$F$80)+(($H$9:$H$80=U33)*(((($E$9:$E$80=$U$32)*($AC$32=AC33))+(($E$9:$E$80=$U$33)*($AC$33=AC33))+(($E$9:$E$80=$U$34)*($AC$34=AC33))+(($E$9:$E$80=$U$35)*($AC$35=AC33)) )&gt;0)*$G$9:$G$80))))</f>
        <v>0</v>
      </c>
      <c r="AG33" s="12">
        <f>1+SUMPRODUCT(--(($AC$32:$AC$35&gt;AC33)+(($AC$32:$AC$35=AC33)*($AD$32:$AD$35&gt;AD33))+(($AC$32:$AC$35=AC33)*($AD$32:$AD$35=AD33)*($AE$32:$AE$35&gt;AE33))+(($AC$32:$AC$35=AC33)*($AD$32:$AD$35=AD33)*($AE$32:$AE$35=AE33)*($AF$32:$AF$35&gt;AF33))+(($AC$32:$AC$35=AC33)*($AD$32:$AD$35=AD33)*($AE$32:$AE$35=AE33)*($AF$32:$AF$35=AF33)*($AB$32:$AB$35&gt;AB33))+(($AC$32:$AC$35=AC33)*($AD$32:$AD$35=AD33)*($AE$32:$AE$35=AE33)*($AF$32:$AF$35=AF33)*($AB$32:$AB$35=AB33)*($Z$32:$Z$35&gt;Z33))+(($AC$32:$AC$35=AC33)*($AD$32:$AD$35=AD33)*($AE$32:$AE$35=AE33)*($AF$32:$AF$35=AF33)*($AB$32:$AB$35=AB33)*($Z$32:$Z$35=Z33)*($U$32:$U$35&lt;U33))))</f>
        <v>3</v>
      </c>
      <c r="AO33" s="11" t="s">
        <v>179</v>
      </c>
      <c r="AP33" s="11" t="s">
        <v>30</v>
      </c>
      <c r="AQ33" s="11" t="s">
        <v>32</v>
      </c>
      <c r="AR33" s="11" t="s">
        <v>36</v>
      </c>
      <c r="AS33" s="11" t="s">
        <v>55</v>
      </c>
      <c r="AT33" s="11" t="s">
        <v>28</v>
      </c>
      <c r="AU33" s="11" t="s">
        <v>34</v>
      </c>
      <c r="AV33" s="11" t="s">
        <v>50</v>
      </c>
      <c r="AW33" s="11" t="s">
        <v>46</v>
      </c>
      <c r="BD33" s="21" t="s">
        <v>86</v>
      </c>
      <c r="BE33" s="21" t="s">
        <v>4</v>
      </c>
      <c r="BF33" s="21" t="s">
        <v>39</v>
      </c>
      <c r="BG33" s="21" t="s">
        <v>6</v>
      </c>
      <c r="BH33" s="21" t="s">
        <v>5</v>
      </c>
      <c r="BI33" s="21" t="s">
        <v>86</v>
      </c>
      <c r="BJ33" s="21" t="s">
        <v>4</v>
      </c>
      <c r="BK33" s="21" t="s">
        <v>39</v>
      </c>
      <c r="BL33" s="21" t="s">
        <v>6</v>
      </c>
      <c r="BM33" s="21" t="s">
        <v>5</v>
      </c>
      <c r="BN33" s="21" t="s">
        <v>86</v>
      </c>
      <c r="BO33" s="21" t="s">
        <v>4</v>
      </c>
      <c r="BP33" s="21" t="s">
        <v>39</v>
      </c>
      <c r="BQ33" s="21" t="s">
        <v>6</v>
      </c>
      <c r="BR33" s="21" t="s">
        <v>5</v>
      </c>
    </row>
    <row r="34" spans="1:70" x14ac:dyDescent="0.25">
      <c r="A34" s="2" t="str">
        <f t="shared" si="2"/>
        <v>jueves</v>
      </c>
      <c r="B34" s="14">
        <f t="shared" si="3"/>
        <v>46191.541666666664</v>
      </c>
      <c r="C34" s="15">
        <f t="shared" si="4"/>
        <v>46191.541666666664</v>
      </c>
      <c r="D34" s="2" t="s">
        <v>80</v>
      </c>
      <c r="E34" s="2" t="s">
        <v>100</v>
      </c>
      <c r="F34" s="13"/>
      <c r="G34" s="13"/>
      <c r="H34" s="2" t="s">
        <v>91</v>
      </c>
      <c r="I34" s="2">
        <v>26</v>
      </c>
      <c r="J34" s="7" t="s">
        <v>97</v>
      </c>
      <c r="K34" s="23"/>
      <c r="L34" s="24"/>
      <c r="M34" s="25"/>
      <c r="N34" s="8">
        <f t="shared" si="5"/>
        <v>46191.541666666664</v>
      </c>
      <c r="O34" s="9" t="s">
        <v>34</v>
      </c>
      <c r="P34" s="16">
        <v>46191.625</v>
      </c>
      <c r="U34" s="12" t="s">
        <v>125</v>
      </c>
      <c r="V34" s="12">
        <f>SUMPRODUCT(($O$9:$O$80="E")*((($E$9:$E$80=U34)+($H$9:$H$80=U34))&gt;0)*ISNUMBER($F$9:$F$80)*ISNUMBER($G$9:$G$80))</f>
        <v>0</v>
      </c>
      <c r="W34" s="12">
        <f>SUMPRODUCT(($O$9:$O$80="E")*ISNUMBER($F$9:$F$80)*ISNUMBER($G$9:$G$80)*((($E$9:$E$80=U34)*($F$9:$F$80&gt;$G$9:$G$80))+(($H$9:$H$80=U34)*($G$9:$G$80&gt;$F$9:$F$80))))</f>
        <v>0</v>
      </c>
      <c r="X34" s="12">
        <f>SUMPRODUCT(($O$9:$O$80="E")*ISNUMBER($F$9:$F$80)*ISNUMBER($G$9:$G$80)*((($E$9:$E$80=U34)+($H$9:$H$80=U34))&gt;0)*($F$9:$F$80=$G$9:$G$80))</f>
        <v>0</v>
      </c>
      <c r="Y34" s="12">
        <f>V34-W34-X34</f>
        <v>0</v>
      </c>
      <c r="Z34" s="12">
        <f>SUMPRODUCT(($O$9:$O$80="E")*ISNUMBER($F$9:$F$80)*ISNUMBER($G$9:$G$80)*($E$9:$E$80=U34)*$F$9:$F$80)+SUMPRODUCT(($O$9:$O$80="E")*ISNUMBER($F$9:$F$80)*ISNUMBER($G$9:$G$80)*($H$9:$H$80=U34)*$G$9:$G$80)</f>
        <v>0</v>
      </c>
      <c r="AA34" s="12">
        <f>SUMPRODUCT(($O$9:$O$80="E")*ISNUMBER($F$9:$F$80)*ISNUMBER($G$9:$G$80)*($E$9:$E$80=U34)*$G$9:$G$80)+SUMPRODUCT(($O$9:$O$80="E")*ISNUMBER($F$9:$F$80)*ISNUMBER($G$9:$G$80)*($H$9:$H$80=U34)*$F$9:$F$80)</f>
        <v>0</v>
      </c>
      <c r="AB34" s="12">
        <f>Z34-AA34</f>
        <v>0</v>
      </c>
      <c r="AC34" s="12">
        <f>W34*3+X34</f>
        <v>0</v>
      </c>
      <c r="AD34" s="12">
        <f>IF(COUNTIF($AC$32:$AC$35,AC34)=1,0,SUMPRODUCT(($O$9:$O$80="E")*ISNUMBER($F$9:$F$80)*ISNUMBER($G$9:$G$80)*((($E$9:$E$80=U34)*(((($H$9:$H$80=$U$32)*($AC$32=AC34))+(($H$9:$H$80=$U$33)*($AC$33=AC34))+(($H$9:$H$80=$U$34)*($AC$34=AC34))+(($H$9:$H$80=$U$35)*($AC$35=AC34)) )&gt;0)*(($F$9:$F$80&gt;$G$9:$G$80)*3+($F$9:$F$80=$G$9:$G$80)))+(($H$9:$H$80=U34)*(((($E$9:$E$80=$U$32)*($AC$32=AC34))+(($E$9:$E$80=$U$33)*($AC$33=AC34))+(($E$9:$E$80=$U$34)*($AC$34=AC34))+(($E$9:$E$80=$U$35)*($AC$35=AC34)) )&gt;0)*(($G$9:$G$80&gt;$F$9:$F$80)*3+($F$9:$F$80=$G$9:$G$80))))))</f>
        <v>0</v>
      </c>
      <c r="AE34" s="12">
        <f>IF(COUNTIF($AC$32:$AC$35,AC34)=1,0,SUMPRODUCT(($O$9:$O$80="E")*ISNUMBER($F$9:$F$80)*ISNUMBER($G$9:$G$80)*((($E$9:$E$80=U34)*(((($H$9:$H$80=$U$32)*($AC$32=AC34))+(($H$9:$H$80=$U$33)*($AC$33=AC34))+(($H$9:$H$80=$U$34)*($AC$34=AC34))+(($H$9:$H$80=$U$35)*($AC$35=AC34)) )&gt;0)*($F$9:$F$80-$G$9:$G$80))+(($H$9:$H$80=U34)*(((($E$9:$E$80=$U$32)*($AC$32=AC34))+(($E$9:$E$80=$U$33)*($AC$33=AC34))+(($E$9:$E$80=$U$34)*($AC$34=AC34))+(($E$9:$E$80=$U$35)*($AC$35=AC34)) )&gt;0)*($G$9:$G$80-$F$9:$F$80)))))</f>
        <v>0</v>
      </c>
      <c r="AF34" s="12">
        <f>IF(COUNTIF($AC$32:$AC$35,AC34)=1,0,SUMPRODUCT(($O$9:$O$80="E")*ISNUMBER($F$9:$F$80)*ISNUMBER($G$9:$G$80)*((($E$9:$E$80=U34)*(((($H$9:$H$80=$U$32)*($AC$32=AC34))+(($H$9:$H$80=$U$33)*($AC$33=AC34))+(($H$9:$H$80=$U$34)*($AC$34=AC34))+(($H$9:$H$80=$U$35)*($AC$35=AC34)) )&gt;0)*$F$9:$F$80)+(($H$9:$H$80=U34)*(((($E$9:$E$80=$U$32)*($AC$32=AC34))+(($E$9:$E$80=$U$33)*($AC$33=AC34))+(($E$9:$E$80=$U$34)*($AC$34=AC34))+(($E$9:$E$80=$U$35)*($AC$35=AC34)) )&gt;0)*$G$9:$G$80))))</f>
        <v>0</v>
      </c>
      <c r="AG34" s="12">
        <f>1+SUMPRODUCT(--(($AC$32:$AC$35&gt;AC34)+(($AC$32:$AC$35=AC34)*($AD$32:$AD$35&gt;AD34))+(($AC$32:$AC$35=AC34)*($AD$32:$AD$35=AD34)*($AE$32:$AE$35&gt;AE34))+(($AC$32:$AC$35=AC34)*($AD$32:$AD$35=AD34)*($AE$32:$AE$35=AE34)*($AF$32:$AF$35&gt;AF34))+(($AC$32:$AC$35=AC34)*($AD$32:$AD$35=AD34)*($AE$32:$AE$35=AE34)*($AF$32:$AF$35=AF34)*($AB$32:$AB$35&gt;AB34))+(($AC$32:$AC$35=AC34)*($AD$32:$AD$35=AD34)*($AE$32:$AE$35=AE34)*($AF$32:$AF$35=AF34)*($AB$32:$AB$35=AB34)*($Z$32:$Z$35&gt;Z34))+(($AC$32:$AC$35=AC34)*($AD$32:$AD$35=AD34)*($AE$32:$AE$35=AE34)*($AF$32:$AF$35=AF34)*($AB$32:$AB$35=AB34)*($Z$32:$Z$35=Z34)*($U$32:$U$35&lt;U34))))</f>
        <v>2</v>
      </c>
      <c r="AO34" s="11" t="s">
        <v>180</v>
      </c>
      <c r="AP34" s="11" t="s">
        <v>30</v>
      </c>
      <c r="AQ34" s="11" t="s">
        <v>32</v>
      </c>
      <c r="AR34" s="11" t="s">
        <v>36</v>
      </c>
      <c r="AS34" s="11" t="s">
        <v>46</v>
      </c>
      <c r="AT34" s="11" t="s">
        <v>28</v>
      </c>
      <c r="AU34" s="11" t="s">
        <v>34</v>
      </c>
      <c r="AV34" s="11" t="s">
        <v>50</v>
      </c>
      <c r="AW34" s="11" t="s">
        <v>60</v>
      </c>
      <c r="BD34" s="3">
        <v>1</v>
      </c>
      <c r="BE34" s="3" t="str">
        <f>INDEX($U$67:$U$70,MATCH(1,$AG$67:$AG$70,0))</f>
        <v>Argelia</v>
      </c>
      <c r="BF34" s="3">
        <f>INDEX($V$67:$V$70,MATCH(1,$AG$67:$AG$70,0))</f>
        <v>0</v>
      </c>
      <c r="BG34" s="3">
        <f>INDEX($AB$67:$AB$70,MATCH(1,$AG$67:$AG$70,0))</f>
        <v>0</v>
      </c>
      <c r="BH34" s="3">
        <f>INDEX($AC$67:$AC$70,MATCH(1,$AG$67:$AG$70,0))</f>
        <v>0</v>
      </c>
      <c r="BI34" s="4">
        <v>1</v>
      </c>
      <c r="BJ34" s="4" t="str">
        <f>INDEX($U$74:$U$77,MATCH(1,$AG$74:$AG$77,0))</f>
        <v>Colombia</v>
      </c>
      <c r="BK34" s="4">
        <f>INDEX($V$74:$V$77,MATCH(1,$AG$74:$AG$77,0))</f>
        <v>0</v>
      </c>
      <c r="BL34" s="4">
        <f>INDEX($AB$74:$AB$77,MATCH(1,$AG$74:$AG$77,0))</f>
        <v>0</v>
      </c>
      <c r="BM34" s="4">
        <f>INDEX($AC$74:$AC$77,MATCH(1,$AG$74:$AG$77,0))</f>
        <v>0</v>
      </c>
      <c r="BN34" s="5">
        <v>1</v>
      </c>
      <c r="BO34" s="5" t="str">
        <f>INDEX($U$81:$U$84,MATCH(1,$AG$81:$AG$84,0))</f>
        <v>Croacia</v>
      </c>
      <c r="BP34" s="5">
        <f>INDEX($V$81:$V$84,MATCH(1,$AG$81:$AG$84,0))</f>
        <v>0</v>
      </c>
      <c r="BQ34" s="5">
        <f>INDEX($AB$81:$AB$84,MATCH(1,$AG$81:$AG$84,0))</f>
        <v>0</v>
      </c>
      <c r="BR34" s="5">
        <f>INDEX($AC$81:$AC$84,MATCH(1,$AG$81:$AG$84,0))</f>
        <v>0</v>
      </c>
    </row>
    <row r="35" spans="1:70" x14ac:dyDescent="0.25">
      <c r="A35" s="2" t="str">
        <f t="shared" si="2"/>
        <v>jueves</v>
      </c>
      <c r="B35" s="14">
        <f t="shared" si="3"/>
        <v>46191.666666666664</v>
      </c>
      <c r="C35" s="15">
        <f t="shared" si="4"/>
        <v>46191.666666666664</v>
      </c>
      <c r="D35" s="2" t="s">
        <v>80</v>
      </c>
      <c r="E35" s="2" t="s">
        <v>90</v>
      </c>
      <c r="F35" s="13"/>
      <c r="G35" s="13"/>
      <c r="H35" s="2" t="s">
        <v>99</v>
      </c>
      <c r="I35" s="2">
        <v>27</v>
      </c>
      <c r="J35" s="7" t="s">
        <v>113</v>
      </c>
      <c r="K35" s="23"/>
      <c r="L35" s="24"/>
      <c r="M35" s="25"/>
      <c r="N35" s="8">
        <f t="shared" si="5"/>
        <v>46191.666666666664</v>
      </c>
      <c r="O35" s="9" t="s">
        <v>34</v>
      </c>
      <c r="P35" s="16">
        <v>46191.75</v>
      </c>
      <c r="U35" s="12" t="s">
        <v>76</v>
      </c>
      <c r="V35" s="12">
        <f>SUMPRODUCT(($O$9:$O$80="E")*((($E$9:$E$80=U35)+($H$9:$H$80=U35))&gt;0)*ISNUMBER($F$9:$F$80)*ISNUMBER($G$9:$G$80))</f>
        <v>0</v>
      </c>
      <c r="W35" s="12">
        <f>SUMPRODUCT(($O$9:$O$80="E")*ISNUMBER($F$9:$F$80)*ISNUMBER($G$9:$G$80)*((($E$9:$E$80=U35)*($F$9:$F$80&gt;$G$9:$G$80))+(($H$9:$H$80=U35)*($G$9:$G$80&gt;$F$9:$F$80))))</f>
        <v>0</v>
      </c>
      <c r="X35" s="12">
        <f>SUMPRODUCT(($O$9:$O$80="E")*ISNUMBER($F$9:$F$80)*ISNUMBER($G$9:$G$80)*((($E$9:$E$80=U35)+($H$9:$H$80=U35))&gt;0)*($F$9:$F$80=$G$9:$G$80))</f>
        <v>0</v>
      </c>
      <c r="Y35" s="12">
        <f>V35-W35-X35</f>
        <v>0</v>
      </c>
      <c r="Z35" s="12">
        <f>SUMPRODUCT(($O$9:$O$80="E")*ISNUMBER($F$9:$F$80)*ISNUMBER($G$9:$G$80)*($E$9:$E$80=U35)*$F$9:$F$80)+SUMPRODUCT(($O$9:$O$80="E")*ISNUMBER($F$9:$F$80)*ISNUMBER($G$9:$G$80)*($H$9:$H$80=U35)*$G$9:$G$80)</f>
        <v>0</v>
      </c>
      <c r="AA35" s="12">
        <f>SUMPRODUCT(($O$9:$O$80="E")*ISNUMBER($F$9:$F$80)*ISNUMBER($G$9:$G$80)*($E$9:$E$80=U35)*$G$9:$G$80)+SUMPRODUCT(($O$9:$O$80="E")*ISNUMBER($F$9:$F$80)*ISNUMBER($G$9:$G$80)*($H$9:$H$80=U35)*$F$9:$F$80)</f>
        <v>0</v>
      </c>
      <c r="AB35" s="12">
        <f>Z35-AA35</f>
        <v>0</v>
      </c>
      <c r="AC35" s="12">
        <f>W35*3+X35</f>
        <v>0</v>
      </c>
      <c r="AD35" s="12">
        <f>IF(COUNTIF($AC$32:$AC$35,AC35)=1,0,SUMPRODUCT(($O$9:$O$80="E")*ISNUMBER($F$9:$F$80)*ISNUMBER($G$9:$G$80)*((($E$9:$E$80=U35)*(((($H$9:$H$80=$U$32)*($AC$32=AC35))+(($H$9:$H$80=$U$33)*($AC$33=AC35))+(($H$9:$H$80=$U$34)*($AC$34=AC35))+(($H$9:$H$80=$U$35)*($AC$35=AC35)) )&gt;0)*(($F$9:$F$80&gt;$G$9:$G$80)*3+($F$9:$F$80=$G$9:$G$80)))+(($H$9:$H$80=U35)*(((($E$9:$E$80=$U$32)*($AC$32=AC35))+(($E$9:$E$80=$U$33)*($AC$33=AC35))+(($E$9:$E$80=$U$34)*($AC$34=AC35))+(($E$9:$E$80=$U$35)*($AC$35=AC35)) )&gt;0)*(($G$9:$G$80&gt;$F$9:$F$80)*3+($F$9:$F$80=$G$9:$G$80))))))</f>
        <v>0</v>
      </c>
      <c r="AE35" s="12">
        <f>IF(COUNTIF($AC$32:$AC$35,AC35)=1,0,SUMPRODUCT(($O$9:$O$80="E")*ISNUMBER($F$9:$F$80)*ISNUMBER($G$9:$G$80)*((($E$9:$E$80=U35)*(((($H$9:$H$80=$U$32)*($AC$32=AC35))+(($H$9:$H$80=$U$33)*($AC$33=AC35))+(($H$9:$H$80=$U$34)*($AC$34=AC35))+(($H$9:$H$80=$U$35)*($AC$35=AC35)) )&gt;0)*($F$9:$F$80-$G$9:$G$80))+(($H$9:$H$80=U35)*(((($E$9:$E$80=$U$32)*($AC$32=AC35))+(($E$9:$E$80=$U$33)*($AC$33=AC35))+(($E$9:$E$80=$U$34)*($AC$34=AC35))+(($E$9:$E$80=$U$35)*($AC$35=AC35)) )&gt;0)*($G$9:$G$80-$F$9:$F$80)))))</f>
        <v>0</v>
      </c>
      <c r="AF35" s="12">
        <f>IF(COUNTIF($AC$32:$AC$35,AC35)=1,0,SUMPRODUCT(($O$9:$O$80="E")*ISNUMBER($F$9:$F$80)*ISNUMBER($G$9:$G$80)*((($E$9:$E$80=U35)*(((($H$9:$H$80=$U$32)*($AC$32=AC35))+(($H$9:$H$80=$U$33)*($AC$33=AC35))+(($H$9:$H$80=$U$34)*($AC$34=AC35))+(($H$9:$H$80=$U$35)*($AC$35=AC35)) )&gt;0)*$F$9:$F$80)+(($H$9:$H$80=U35)*(((($E$9:$E$80=$U$32)*($AC$32=AC35))+(($E$9:$E$80=$U$33)*($AC$33=AC35))+(($E$9:$E$80=$U$34)*($AC$34=AC35))+(($E$9:$E$80=$U$35)*($AC$35=AC35)) )&gt;0)*$G$9:$G$80))))</f>
        <v>0</v>
      </c>
      <c r="AG35" s="12">
        <f>1+SUMPRODUCT(--(($AC$32:$AC$35&gt;AC35)+(($AC$32:$AC$35=AC35)*($AD$32:$AD$35&gt;AD35))+(($AC$32:$AC$35=AC35)*($AD$32:$AD$35=AD35)*($AE$32:$AE$35&gt;AE35))+(($AC$32:$AC$35=AC35)*($AD$32:$AD$35=AD35)*($AE$32:$AE$35=AE35)*($AF$32:$AF$35&gt;AF35))+(($AC$32:$AC$35=AC35)*($AD$32:$AD$35=AD35)*($AE$32:$AE$35=AE35)*($AF$32:$AF$35=AF35)*($AB$32:$AB$35&gt;AB35))+(($AC$32:$AC$35=AC35)*($AD$32:$AD$35=AD35)*($AE$32:$AE$35=AE35)*($AF$32:$AF$35=AF35)*($AB$32:$AB$35=AB35)*($Z$32:$Z$35&gt;Z35))+(($AC$32:$AC$35=AC35)*($AD$32:$AD$35=AD35)*($AE$32:$AE$35=AE35)*($AF$32:$AF$35=AF35)*($AB$32:$AB$35=AB35)*($Z$32:$Z$35=Z35)*($U$32:$U$35&lt;U35))))</f>
        <v>4</v>
      </c>
      <c r="AO35" s="11" t="s">
        <v>181</v>
      </c>
      <c r="AP35" s="11" t="s">
        <v>30</v>
      </c>
      <c r="AQ35" s="11" t="s">
        <v>32</v>
      </c>
      <c r="AR35" s="11" t="s">
        <v>36</v>
      </c>
      <c r="AS35" s="11" t="s">
        <v>55</v>
      </c>
      <c r="AT35" s="11" t="s">
        <v>28</v>
      </c>
      <c r="AU35" s="11" t="s">
        <v>34</v>
      </c>
      <c r="AV35" s="11" t="s">
        <v>46</v>
      </c>
      <c r="AW35" s="11" t="s">
        <v>60</v>
      </c>
      <c r="BD35" s="3">
        <v>2</v>
      </c>
      <c r="BE35" s="3" t="str">
        <f>INDEX($U$67:$U$70,MATCH(2,$AG$67:$AG$70,0))</f>
        <v>Argentina</v>
      </c>
      <c r="BF35" s="3">
        <f>INDEX($V$67:$V$70,MATCH(2,$AG$67:$AG$70,0))</f>
        <v>0</v>
      </c>
      <c r="BG35" s="3">
        <f>INDEX($AB$67:$AB$70,MATCH(2,$AG$67:$AG$70,0))</f>
        <v>0</v>
      </c>
      <c r="BH35" s="3">
        <f>INDEX($AC$67:$AC$70,MATCH(2,$AG$67:$AG$70,0))</f>
        <v>0</v>
      </c>
      <c r="BI35" s="4">
        <v>2</v>
      </c>
      <c r="BJ35" s="4" t="str">
        <f>INDEX($U$74:$U$77,MATCH(2,$AG$74:$AG$77,0))</f>
        <v>Portugal</v>
      </c>
      <c r="BK35" s="4">
        <f>INDEX($V$74:$V$77,MATCH(2,$AG$74:$AG$77,0))</f>
        <v>0</v>
      </c>
      <c r="BL35" s="4">
        <f>INDEX($AB$74:$AB$77,MATCH(2,$AG$74:$AG$77,0))</f>
        <v>0</v>
      </c>
      <c r="BM35" s="4">
        <f>INDEX($AC$74:$AC$77,MATCH(2,$AG$74:$AG$77,0))</f>
        <v>0</v>
      </c>
      <c r="BN35" s="5">
        <v>2</v>
      </c>
      <c r="BO35" s="5" t="str">
        <f>INDEX($U$81:$U$84,MATCH(2,$AG$81:$AG$84,0))</f>
        <v>Ghana</v>
      </c>
      <c r="BP35" s="5">
        <f>INDEX($V$81:$V$84,MATCH(2,$AG$81:$AG$84,0))</f>
        <v>0</v>
      </c>
      <c r="BQ35" s="5">
        <f>INDEX($AB$81:$AB$84,MATCH(2,$AG$81:$AG$84,0))</f>
        <v>0</v>
      </c>
      <c r="BR35" s="5">
        <f>INDEX($AC$81:$AC$84,MATCH(2,$AG$81:$AG$84,0))</f>
        <v>0</v>
      </c>
    </row>
    <row r="36" spans="1:70" x14ac:dyDescent="0.25">
      <c r="A36" s="2" t="str">
        <f t="shared" si="2"/>
        <v>jueves</v>
      </c>
      <c r="B36" s="14">
        <f t="shared" si="3"/>
        <v>46191.791666666664</v>
      </c>
      <c r="C36" s="15">
        <f t="shared" si="4"/>
        <v>46191.791666666664</v>
      </c>
      <c r="D36" s="2" t="s">
        <v>79</v>
      </c>
      <c r="E36" s="2" t="s">
        <v>25</v>
      </c>
      <c r="F36" s="13"/>
      <c r="G36" s="13"/>
      <c r="H36" s="2" t="s">
        <v>58</v>
      </c>
      <c r="I36" s="2">
        <v>28</v>
      </c>
      <c r="J36" s="7" t="s">
        <v>88</v>
      </c>
      <c r="K36" s="23"/>
      <c r="L36" s="24"/>
      <c r="M36" s="25"/>
      <c r="N36" s="8">
        <f t="shared" si="5"/>
        <v>46191.791666666664</v>
      </c>
      <c r="O36" s="9" t="s">
        <v>28</v>
      </c>
      <c r="P36" s="16">
        <v>46191.875</v>
      </c>
      <c r="AO36" s="11" t="s">
        <v>182</v>
      </c>
      <c r="AP36" s="11" t="s">
        <v>30</v>
      </c>
      <c r="AQ36" s="11" t="s">
        <v>32</v>
      </c>
      <c r="AR36" s="11" t="s">
        <v>36</v>
      </c>
      <c r="AS36" s="11" t="s">
        <v>55</v>
      </c>
      <c r="AT36" s="11" t="s">
        <v>28</v>
      </c>
      <c r="AU36" s="11" t="s">
        <v>34</v>
      </c>
      <c r="AV36" s="11" t="s">
        <v>50</v>
      </c>
      <c r="AW36" s="11" t="s">
        <v>60</v>
      </c>
      <c r="BD36" s="3">
        <v>3</v>
      </c>
      <c r="BE36" s="3" t="str">
        <f>INDEX($U$67:$U$70,MATCH(3,$AG$67:$AG$70,0))</f>
        <v>Austria</v>
      </c>
      <c r="BF36" s="3">
        <f>INDEX($V$67:$V$70,MATCH(3,$AG$67:$AG$70,0))</f>
        <v>0</v>
      </c>
      <c r="BG36" s="3">
        <f>INDEX($AB$67:$AB$70,MATCH(3,$AG$67:$AG$70,0))</f>
        <v>0</v>
      </c>
      <c r="BH36" s="3">
        <f>INDEX($AC$67:$AC$70,MATCH(3,$AG$67:$AG$70,0))</f>
        <v>0</v>
      </c>
      <c r="BI36" s="4">
        <v>3</v>
      </c>
      <c r="BJ36" s="4" t="str">
        <f>INDEX($U$74:$U$77,MATCH(3,$AG$74:$AG$77,0))</f>
        <v>RD Congo</v>
      </c>
      <c r="BK36" s="4">
        <f>INDEX($V$74:$V$77,MATCH(3,$AG$74:$AG$77,0))</f>
        <v>0</v>
      </c>
      <c r="BL36" s="4">
        <f>INDEX($AB$74:$AB$77,MATCH(3,$AG$74:$AG$77,0))</f>
        <v>0</v>
      </c>
      <c r="BM36" s="4">
        <f>INDEX($AC$74:$AC$77,MATCH(3,$AG$74:$AG$77,0))</f>
        <v>0</v>
      </c>
      <c r="BN36" s="5">
        <v>3</v>
      </c>
      <c r="BO36" s="5" t="str">
        <f>INDEX($U$81:$U$84,MATCH(3,$AG$81:$AG$84,0))</f>
        <v>Inglaterra</v>
      </c>
      <c r="BP36" s="5">
        <f>INDEX($V$81:$V$84,MATCH(3,$AG$81:$AG$84,0))</f>
        <v>0</v>
      </c>
      <c r="BQ36" s="5">
        <f>INDEX($AB$81:$AB$84,MATCH(3,$AG$81:$AG$84,0))</f>
        <v>0</v>
      </c>
      <c r="BR36" s="5">
        <f>INDEX($AC$81:$AC$84,MATCH(3,$AG$81:$AG$84,0))</f>
        <v>0</v>
      </c>
    </row>
    <row r="37" spans="1:70" x14ac:dyDescent="0.25">
      <c r="A37" s="2" t="str">
        <f t="shared" si="2"/>
        <v>viernes</v>
      </c>
      <c r="B37" s="14">
        <f t="shared" si="3"/>
        <v>46192.541666666664</v>
      </c>
      <c r="C37" s="15">
        <f t="shared" si="4"/>
        <v>46192.541666666664</v>
      </c>
      <c r="D37" s="2" t="s">
        <v>94</v>
      </c>
      <c r="E37" s="2" t="s">
        <v>95</v>
      </c>
      <c r="F37" s="13"/>
      <c r="G37" s="13"/>
      <c r="H37" s="2" t="s">
        <v>111</v>
      </c>
      <c r="I37" s="2">
        <v>32</v>
      </c>
      <c r="J37" s="7" t="s">
        <v>139</v>
      </c>
      <c r="K37" s="23"/>
      <c r="L37" s="24"/>
      <c r="M37" s="25"/>
      <c r="N37" s="8">
        <f t="shared" si="5"/>
        <v>46192.541666666664</v>
      </c>
      <c r="O37" s="9" t="s">
        <v>30</v>
      </c>
      <c r="P37" s="16">
        <v>46192.625</v>
      </c>
      <c r="AO37" s="11" t="s">
        <v>183</v>
      </c>
      <c r="AP37" s="11" t="s">
        <v>30</v>
      </c>
      <c r="AQ37" s="11" t="s">
        <v>31</v>
      </c>
      <c r="AR37" s="11" t="s">
        <v>32</v>
      </c>
      <c r="AS37" s="11" t="s">
        <v>33</v>
      </c>
      <c r="AT37" s="11" t="s">
        <v>28</v>
      </c>
      <c r="AU37" s="11" t="s">
        <v>34</v>
      </c>
      <c r="AV37" s="11" t="s">
        <v>35</v>
      </c>
      <c r="AW37" s="11" t="s">
        <v>46</v>
      </c>
      <c r="BD37" s="3">
        <v>4</v>
      </c>
      <c r="BE37" s="3" t="str">
        <f>INDEX($U$67:$U$70,MATCH(4,$AG$67:$AG$70,0))</f>
        <v>Jordania</v>
      </c>
      <c r="BF37" s="3">
        <f>INDEX($V$67:$V$70,MATCH(4,$AG$67:$AG$70,0))</f>
        <v>0</v>
      </c>
      <c r="BG37" s="3">
        <f>INDEX($AB$67:$AB$70,MATCH(4,$AG$67:$AG$70,0))</f>
        <v>0</v>
      </c>
      <c r="BH37" s="3">
        <f>INDEX($AC$67:$AC$70,MATCH(4,$AG$67:$AG$70,0))</f>
        <v>0</v>
      </c>
      <c r="BI37" s="4">
        <v>4</v>
      </c>
      <c r="BJ37" s="4" t="str">
        <f>INDEX($U$74:$U$77,MATCH(4,$AG$74:$AG$77,0))</f>
        <v>Uzbekistán</v>
      </c>
      <c r="BK37" s="4">
        <f>INDEX($V$74:$V$77,MATCH(4,$AG$74:$AG$77,0))</f>
        <v>0</v>
      </c>
      <c r="BL37" s="4">
        <f>INDEX($AB$74:$AB$77,MATCH(4,$AG$74:$AG$77,0))</f>
        <v>0</v>
      </c>
      <c r="BM37" s="4">
        <f>INDEX($AC$74:$AC$77,MATCH(4,$AG$74:$AG$77,0))</f>
        <v>0</v>
      </c>
      <c r="BN37" s="5">
        <v>4</v>
      </c>
      <c r="BO37" s="5" t="str">
        <f>INDEX($U$81:$U$84,MATCH(4,$AG$81:$AG$84,0))</f>
        <v>Panamá</v>
      </c>
      <c r="BP37" s="5">
        <f>INDEX($V$81:$V$84,MATCH(4,$AG$81:$AG$84,0))</f>
        <v>0</v>
      </c>
      <c r="BQ37" s="5">
        <f>INDEX($AB$81:$AB$84,MATCH(4,$AG$81:$AG$84,0))</f>
        <v>0</v>
      </c>
      <c r="BR37" s="5">
        <f>INDEX($AC$81:$AC$84,MATCH(4,$AG$81:$AG$84,0))</f>
        <v>0</v>
      </c>
    </row>
    <row r="38" spans="1:70" x14ac:dyDescent="0.25">
      <c r="A38" s="2" t="str">
        <f t="shared" si="2"/>
        <v>viernes</v>
      </c>
      <c r="B38" s="14">
        <f t="shared" si="3"/>
        <v>46192.666666666664</v>
      </c>
      <c r="C38" s="15">
        <f t="shared" si="4"/>
        <v>46192.666666666664</v>
      </c>
      <c r="D38" s="2" t="s">
        <v>81</v>
      </c>
      <c r="E38" s="2" t="s">
        <v>108</v>
      </c>
      <c r="F38" s="13"/>
      <c r="G38" s="13"/>
      <c r="H38" s="2" t="s">
        <v>104</v>
      </c>
      <c r="I38" s="2">
        <v>30</v>
      </c>
      <c r="J38" s="7" t="s">
        <v>109</v>
      </c>
      <c r="K38" s="23"/>
      <c r="L38" s="24"/>
      <c r="M38" s="25"/>
      <c r="N38" s="8">
        <f t="shared" si="5"/>
        <v>46192.666666666664</v>
      </c>
      <c r="O38" s="9" t="s">
        <v>32</v>
      </c>
      <c r="P38" s="16">
        <v>46192.75</v>
      </c>
      <c r="U38" s="12" t="s">
        <v>4</v>
      </c>
      <c r="V38" s="12" t="s">
        <v>39</v>
      </c>
      <c r="W38" s="12" t="s">
        <v>31</v>
      </c>
      <c r="X38" s="12" t="s">
        <v>36</v>
      </c>
      <c r="Y38" s="12" t="s">
        <v>40</v>
      </c>
      <c r="Z38" s="12" t="s">
        <v>7</v>
      </c>
      <c r="AA38" s="12" t="s">
        <v>41</v>
      </c>
      <c r="AB38" s="12" t="s">
        <v>6</v>
      </c>
      <c r="AC38" s="12" t="s">
        <v>5</v>
      </c>
      <c r="AD38" s="12" t="s">
        <v>42</v>
      </c>
      <c r="AE38" s="12" t="s">
        <v>43</v>
      </c>
      <c r="AF38" s="12" t="s">
        <v>44</v>
      </c>
      <c r="AG38" s="12" t="s">
        <v>8</v>
      </c>
      <c r="AO38" s="11" t="s">
        <v>184</v>
      </c>
      <c r="AP38" s="11" t="s">
        <v>30</v>
      </c>
      <c r="AQ38" s="11" t="s">
        <v>31</v>
      </c>
      <c r="AR38" s="11" t="s">
        <v>32</v>
      </c>
      <c r="AS38" s="11" t="s">
        <v>33</v>
      </c>
      <c r="AT38" s="11" t="s">
        <v>28</v>
      </c>
      <c r="AU38" s="11" t="s">
        <v>34</v>
      </c>
      <c r="AV38" s="11" t="s">
        <v>35</v>
      </c>
      <c r="AW38" s="11" t="s">
        <v>50</v>
      </c>
    </row>
    <row r="39" spans="1:70" x14ac:dyDescent="0.25">
      <c r="A39" s="2" t="str">
        <f t="shared" si="2"/>
        <v>viernes</v>
      </c>
      <c r="B39" s="14">
        <f t="shared" si="3"/>
        <v>46192.791666666664</v>
      </c>
      <c r="C39" s="15">
        <f t="shared" si="4"/>
        <v>46192.791666666664</v>
      </c>
      <c r="D39" s="2" t="s">
        <v>81</v>
      </c>
      <c r="E39" s="2" t="s">
        <v>103</v>
      </c>
      <c r="F39" s="13"/>
      <c r="G39" s="13"/>
      <c r="H39" s="2" t="s">
        <v>107</v>
      </c>
      <c r="I39" s="2">
        <v>29</v>
      </c>
      <c r="J39" s="7" t="s">
        <v>126</v>
      </c>
      <c r="K39" s="23"/>
      <c r="L39" s="24"/>
      <c r="M39" s="25"/>
      <c r="N39" s="8">
        <f t="shared" si="5"/>
        <v>46192.791666666664</v>
      </c>
      <c r="O39" s="9" t="s">
        <v>32</v>
      </c>
      <c r="P39" s="16">
        <v>46192.875</v>
      </c>
      <c r="U39" s="12" t="s">
        <v>121</v>
      </c>
      <c r="V39" s="12">
        <f>SUMPRODUCT(($O$9:$O$80="F")*((($E$9:$E$80=U39)+($H$9:$H$80=U39))&gt;0)*ISNUMBER($F$9:$F$80)*ISNUMBER($G$9:$G$80))</f>
        <v>0</v>
      </c>
      <c r="W39" s="12">
        <f>SUMPRODUCT(($O$9:$O$80="F")*ISNUMBER($F$9:$F$80)*ISNUMBER($G$9:$G$80)*((($E$9:$E$80=U39)*($F$9:$F$80&gt;$G$9:$G$80))+(($H$9:$H$80=U39)*($G$9:$G$80&gt;$F$9:$F$80))))</f>
        <v>0</v>
      </c>
      <c r="X39" s="12">
        <f>SUMPRODUCT(($O$9:$O$80="F")*ISNUMBER($F$9:$F$80)*ISNUMBER($G$9:$G$80)*((($E$9:$E$80=U39)+($H$9:$H$80=U39))&gt;0)*($F$9:$F$80=$G$9:$G$80))</f>
        <v>0</v>
      </c>
      <c r="Y39" s="12">
        <f>V39-W39-X39</f>
        <v>0</v>
      </c>
      <c r="Z39" s="12">
        <f>SUMPRODUCT(($O$9:$O$80="F")*ISNUMBER($F$9:$F$80)*ISNUMBER($G$9:$G$80)*($E$9:$E$80=U39)*$F$9:$F$80)+SUMPRODUCT(($O$9:$O$80="F")*ISNUMBER($F$9:$F$80)*ISNUMBER($G$9:$G$80)*($H$9:$H$80=U39)*$G$9:$G$80)</f>
        <v>0</v>
      </c>
      <c r="AA39" s="12">
        <f>SUMPRODUCT(($O$9:$O$80="F")*ISNUMBER($F$9:$F$80)*ISNUMBER($G$9:$G$80)*($E$9:$E$80=U39)*$G$9:$G$80)+SUMPRODUCT(($O$9:$O$80="F")*ISNUMBER($F$9:$F$80)*ISNUMBER($G$9:$G$80)*($H$9:$H$80=U39)*$F$9:$F$80)</f>
        <v>0</v>
      </c>
      <c r="AB39" s="12">
        <f>Z39-AA39</f>
        <v>0</v>
      </c>
      <c r="AC39" s="12">
        <f>W39*3+X39</f>
        <v>0</v>
      </c>
      <c r="AD39" s="12">
        <f>IF(COUNTIF($AC$39:$AC$42,AC39)=1,0,SUMPRODUCT(($O$9:$O$80="F")*ISNUMBER($F$9:$F$80)*ISNUMBER($G$9:$G$80)*((($E$9:$E$80=U39)*(((($H$9:$H$80=$U$39)*($AC$39=AC39))+(($H$9:$H$80=$U$40)*($AC$40=AC39))+(($H$9:$H$80=$U$41)*($AC$41=AC39))+(($H$9:$H$80=$U$42)*($AC$42=AC39)) )&gt;0)*(($F$9:$F$80&gt;$G$9:$G$80)*3+($F$9:$F$80=$G$9:$G$80)))+(($H$9:$H$80=U39)*(((($E$9:$E$80=$U$39)*($AC$39=AC39))+(($E$9:$E$80=$U$40)*($AC$40=AC39))+(($E$9:$E$80=$U$41)*($AC$41=AC39))+(($E$9:$E$80=$U$42)*($AC$42=AC39)) )&gt;0)*(($G$9:$G$80&gt;$F$9:$F$80)*3+($F$9:$F$80=$G$9:$G$80))))))</f>
        <v>0</v>
      </c>
      <c r="AE39" s="12">
        <f>IF(COUNTIF($AC$39:$AC$42,AC39)=1,0,SUMPRODUCT(($O$9:$O$80="F")*ISNUMBER($F$9:$F$80)*ISNUMBER($G$9:$G$80)*((($E$9:$E$80=U39)*(((($H$9:$H$80=$U$39)*($AC$39=AC39))+(($H$9:$H$80=$U$40)*($AC$40=AC39))+(($H$9:$H$80=$U$41)*($AC$41=AC39))+(($H$9:$H$80=$U$42)*($AC$42=AC39)) )&gt;0)*($F$9:$F$80-$G$9:$G$80))+(($H$9:$H$80=U39)*(((($E$9:$E$80=$U$39)*($AC$39=AC39))+(($E$9:$E$80=$U$40)*($AC$40=AC39))+(($E$9:$E$80=$U$41)*($AC$41=AC39))+(($E$9:$E$80=$U$42)*($AC$42=AC39)) )&gt;0)*($G$9:$G$80-$F$9:$F$80)))))</f>
        <v>0</v>
      </c>
      <c r="AF39" s="12">
        <f>IF(COUNTIF($AC$39:$AC$42,AC39)=1,0,SUMPRODUCT(($O$9:$O$80="F")*ISNUMBER($F$9:$F$80)*ISNUMBER($G$9:$G$80)*((($E$9:$E$80=U39)*(((($H$9:$H$80=$U$39)*($AC$39=AC39))+(($H$9:$H$80=$U$40)*($AC$40=AC39))+(($H$9:$H$80=$U$41)*($AC$41=AC39))+(($H$9:$H$80=$U$42)*($AC$42=AC39)) )&gt;0)*$F$9:$F$80)+(($H$9:$H$80=U39)*(((($E$9:$E$80=$U$39)*($AC$39=AC39))+(($E$9:$E$80=$U$40)*($AC$40=AC39))+(($E$9:$E$80=$U$41)*($AC$41=AC39))+(($E$9:$E$80=$U$42)*($AC$42=AC39)) )&gt;0)*$G$9:$G$80))))</f>
        <v>0</v>
      </c>
      <c r="AG39" s="12">
        <f>1+SUMPRODUCT(--(($AC$39:$AC$42&gt;AC39)+(($AC$39:$AC$42=AC39)*($AD$39:$AD$42&gt;AD39))+(($AC$39:$AC$42=AC39)*($AD$39:$AD$42=AD39)*($AE$39:$AE$42&gt;AE39))+(($AC$39:$AC$42=AC39)*($AD$39:$AD$42=AD39)*($AE$39:$AE$42=AE39)*($AF$39:$AF$42&gt;AF39))+(($AC$39:$AC$42=AC39)*($AD$39:$AD$42=AD39)*($AE$39:$AE$42=AE39)*($AF$39:$AF$42=AF39)*($AB$39:$AB$42&gt;AB39))+(($AC$39:$AC$42=AC39)*($AD$39:$AD$42=AD39)*($AE$39:$AE$42=AE39)*($AF$39:$AF$42=AF39)*($AB$39:$AB$42=AB39)*($Z$39:$Z$42&gt;Z39))+(($AC$39:$AC$42=AC39)*($AD$39:$AD$42=AD39)*($AE$39:$AE$42=AE39)*($AF$39:$AF$42=AF39)*($AB$39:$AB$42=AB39)*($Z$39:$Z$42=Z39)*($U$39:$U$42&lt;U39))))</f>
        <v>2</v>
      </c>
      <c r="AO39" s="11" t="s">
        <v>185</v>
      </c>
      <c r="AP39" s="11" t="s">
        <v>28</v>
      </c>
      <c r="AQ39" s="11" t="s">
        <v>31</v>
      </c>
      <c r="AR39" s="11" t="s">
        <v>32</v>
      </c>
      <c r="AS39" s="11" t="s">
        <v>55</v>
      </c>
      <c r="AT39" s="11" t="s">
        <v>33</v>
      </c>
      <c r="AU39" s="11" t="s">
        <v>34</v>
      </c>
      <c r="AV39" s="11" t="s">
        <v>35</v>
      </c>
      <c r="AW39" s="11" t="s">
        <v>30</v>
      </c>
    </row>
    <row r="40" spans="1:70" x14ac:dyDescent="0.25">
      <c r="A40" s="2" t="str">
        <f t="shared" si="2"/>
        <v>viernes</v>
      </c>
      <c r="B40" s="14">
        <f t="shared" si="3"/>
        <v>46192.915972222218</v>
      </c>
      <c r="C40" s="15">
        <f t="shared" si="4"/>
        <v>46192.915972222218</v>
      </c>
      <c r="D40" s="2" t="s">
        <v>94</v>
      </c>
      <c r="E40" s="2" t="s">
        <v>112</v>
      </c>
      <c r="F40" s="13"/>
      <c r="G40" s="13"/>
      <c r="H40" s="2" t="s">
        <v>96</v>
      </c>
      <c r="I40" s="2">
        <v>31</v>
      </c>
      <c r="J40" s="7" t="s">
        <v>101</v>
      </c>
      <c r="K40" s="23"/>
      <c r="L40" s="24"/>
      <c r="M40" s="25"/>
      <c r="N40" s="8">
        <f t="shared" si="5"/>
        <v>46192.915972222218</v>
      </c>
      <c r="O40" s="9" t="s">
        <v>30</v>
      </c>
      <c r="P40" s="16">
        <v>46192.999305555553</v>
      </c>
      <c r="U40" s="12" t="s">
        <v>122</v>
      </c>
      <c r="V40" s="12">
        <f>SUMPRODUCT(($O$9:$O$80="F")*((($E$9:$E$80=U40)+($H$9:$H$80=U40))&gt;0)*ISNUMBER($F$9:$F$80)*ISNUMBER($G$9:$G$80))</f>
        <v>0</v>
      </c>
      <c r="W40" s="12">
        <f>SUMPRODUCT(($O$9:$O$80="F")*ISNUMBER($F$9:$F$80)*ISNUMBER($G$9:$G$80)*((($E$9:$E$80=U40)*($F$9:$F$80&gt;$G$9:$G$80))+(($H$9:$H$80=U40)*($G$9:$G$80&gt;$F$9:$F$80))))</f>
        <v>0</v>
      </c>
      <c r="X40" s="12">
        <f>SUMPRODUCT(($O$9:$O$80="F")*ISNUMBER($F$9:$F$80)*ISNUMBER($G$9:$G$80)*((($E$9:$E$80=U40)+($H$9:$H$80=U40))&gt;0)*($F$9:$F$80=$G$9:$G$80))</f>
        <v>0</v>
      </c>
      <c r="Y40" s="12">
        <f>V40-W40-X40</f>
        <v>0</v>
      </c>
      <c r="Z40" s="12">
        <f>SUMPRODUCT(($O$9:$O$80="F")*ISNUMBER($F$9:$F$80)*ISNUMBER($G$9:$G$80)*($E$9:$E$80=U40)*$F$9:$F$80)+SUMPRODUCT(($O$9:$O$80="F")*ISNUMBER($F$9:$F$80)*ISNUMBER($G$9:$G$80)*($H$9:$H$80=U40)*$G$9:$G$80)</f>
        <v>0</v>
      </c>
      <c r="AA40" s="12">
        <f>SUMPRODUCT(($O$9:$O$80="F")*ISNUMBER($F$9:$F$80)*ISNUMBER($G$9:$G$80)*($E$9:$E$80=U40)*$G$9:$G$80)+SUMPRODUCT(($O$9:$O$80="F")*ISNUMBER($F$9:$F$80)*ISNUMBER($G$9:$G$80)*($H$9:$H$80=U40)*$F$9:$F$80)</f>
        <v>0</v>
      </c>
      <c r="AB40" s="12">
        <f>Z40-AA40</f>
        <v>0</v>
      </c>
      <c r="AC40" s="12">
        <f>W40*3+X40</f>
        <v>0</v>
      </c>
      <c r="AD40" s="12">
        <f>IF(COUNTIF($AC$39:$AC$42,AC40)=1,0,SUMPRODUCT(($O$9:$O$80="F")*ISNUMBER($F$9:$F$80)*ISNUMBER($G$9:$G$80)*((($E$9:$E$80=U40)*(((($H$9:$H$80=$U$39)*($AC$39=AC40))+(($H$9:$H$80=$U$40)*($AC$40=AC40))+(($H$9:$H$80=$U$41)*($AC$41=AC40))+(($H$9:$H$80=$U$42)*($AC$42=AC40)) )&gt;0)*(($F$9:$F$80&gt;$G$9:$G$80)*3+($F$9:$F$80=$G$9:$G$80)))+(($H$9:$H$80=U40)*(((($E$9:$E$80=$U$39)*($AC$39=AC40))+(($E$9:$E$80=$U$40)*($AC$40=AC40))+(($E$9:$E$80=$U$41)*($AC$41=AC40))+(($E$9:$E$80=$U$42)*($AC$42=AC40)) )&gt;0)*(($G$9:$G$80&gt;$F$9:$F$80)*3+($F$9:$F$80=$G$9:$G$80))))))</f>
        <v>0</v>
      </c>
      <c r="AE40" s="12">
        <f>IF(COUNTIF($AC$39:$AC$42,AC40)=1,0,SUMPRODUCT(($O$9:$O$80="F")*ISNUMBER($F$9:$F$80)*ISNUMBER($G$9:$G$80)*((($E$9:$E$80=U40)*(((($H$9:$H$80=$U$39)*($AC$39=AC40))+(($H$9:$H$80=$U$40)*($AC$40=AC40))+(($H$9:$H$80=$U$41)*($AC$41=AC40))+(($H$9:$H$80=$U$42)*($AC$42=AC40)) )&gt;0)*($F$9:$F$80-$G$9:$G$80))+(($H$9:$H$80=U40)*(((($E$9:$E$80=$U$39)*($AC$39=AC40))+(($E$9:$E$80=$U$40)*($AC$40=AC40))+(($E$9:$E$80=$U$41)*($AC$41=AC40))+(($E$9:$E$80=$U$42)*($AC$42=AC40)) )&gt;0)*($G$9:$G$80-$F$9:$F$80)))))</f>
        <v>0</v>
      </c>
      <c r="AF40" s="12">
        <f>IF(COUNTIF($AC$39:$AC$42,AC40)=1,0,SUMPRODUCT(($O$9:$O$80="F")*ISNUMBER($F$9:$F$80)*ISNUMBER($G$9:$G$80)*((($E$9:$E$80=U40)*(((($H$9:$H$80=$U$39)*($AC$39=AC40))+(($H$9:$H$80=$U$40)*($AC$40=AC40))+(($H$9:$H$80=$U$41)*($AC$41=AC40))+(($H$9:$H$80=$U$42)*($AC$42=AC40)) )&gt;0)*$F$9:$F$80)+(($H$9:$H$80=U40)*(((($E$9:$E$80=$U$39)*($AC$39=AC40))+(($E$9:$E$80=$U$40)*($AC$40=AC40))+(($E$9:$E$80=$U$41)*($AC$41=AC40))+(($E$9:$E$80=$U$42)*($AC$42=AC40)) )&gt;0)*$G$9:$G$80))))</f>
        <v>0</v>
      </c>
      <c r="AG40" s="12">
        <f>1+SUMPRODUCT(--(($AC$39:$AC$42&gt;AC40)+(($AC$39:$AC$42=AC40)*($AD$39:$AD$42&gt;AD40))+(($AC$39:$AC$42=AC40)*($AD$39:$AD$42=AD40)*($AE$39:$AE$42&gt;AE40))+(($AC$39:$AC$42=AC40)*($AD$39:$AD$42=AD40)*($AE$39:$AE$42=AE40)*($AF$39:$AF$42&gt;AF40))+(($AC$39:$AC$42=AC40)*($AD$39:$AD$42=AD40)*($AE$39:$AE$42=AE40)*($AF$39:$AF$42=AF40)*($AB$39:$AB$42&gt;AB40))+(($AC$39:$AC$42=AC40)*($AD$39:$AD$42=AD40)*($AE$39:$AE$42=AE40)*($AF$39:$AF$42=AF40)*($AB$39:$AB$42=AB40)*($Z$39:$Z$42&gt;Z40))+(($AC$39:$AC$42=AC40)*($AD$39:$AD$42=AD40)*($AE$39:$AE$42=AE40)*($AF$39:$AF$42=AF40)*($AB$39:$AB$42=AB40)*($Z$39:$Z$42=Z40)*($U$39:$U$42&lt;U40))))</f>
        <v>1</v>
      </c>
      <c r="AO40" s="11" t="s">
        <v>186</v>
      </c>
      <c r="AP40" s="11" t="s">
        <v>30</v>
      </c>
      <c r="AQ40" s="11" t="s">
        <v>31</v>
      </c>
      <c r="AR40" s="11" t="s">
        <v>32</v>
      </c>
      <c r="AS40" s="11" t="s">
        <v>33</v>
      </c>
      <c r="AT40" s="11" t="s">
        <v>28</v>
      </c>
      <c r="AU40" s="11" t="s">
        <v>34</v>
      </c>
      <c r="AV40" s="11" t="s">
        <v>35</v>
      </c>
      <c r="AW40" s="11" t="s">
        <v>60</v>
      </c>
    </row>
    <row r="41" spans="1:70" x14ac:dyDescent="0.25">
      <c r="A41" s="2" t="str">
        <f t="shared" ref="A41:A72" si="6">TEXT(N41,"[$-es-ES]dddd")</f>
        <v>sábado</v>
      </c>
      <c r="B41" s="14">
        <f t="shared" ref="B41:B72" si="7">N41</f>
        <v>46193.458333333321</v>
      </c>
      <c r="C41" s="15">
        <f t="shared" ref="C41:C72" si="8">N41</f>
        <v>46193.458333333321</v>
      </c>
      <c r="D41" s="2" t="s">
        <v>116</v>
      </c>
      <c r="E41" s="2" t="s">
        <v>121</v>
      </c>
      <c r="F41" s="13"/>
      <c r="G41" s="13"/>
      <c r="H41" s="2" t="s">
        <v>128</v>
      </c>
      <c r="I41" s="2">
        <v>35</v>
      </c>
      <c r="J41" s="7" t="s">
        <v>119</v>
      </c>
      <c r="K41" s="23"/>
      <c r="L41" s="24"/>
      <c r="M41" s="25"/>
      <c r="N41" s="8">
        <f t="shared" ref="N41:N72" si="9">P41+VLOOKUP($B$2,$R$2:$S$8,2,FALSE)/24</f>
        <v>46193.458333333321</v>
      </c>
      <c r="O41" s="9" t="s">
        <v>35</v>
      </c>
      <c r="P41" s="16">
        <v>46193.541666666657</v>
      </c>
      <c r="U41" s="12" t="s">
        <v>128</v>
      </c>
      <c r="V41" s="12">
        <f>SUMPRODUCT(($O$9:$O$80="F")*((($E$9:$E$80=U41)+($H$9:$H$80=U41))&gt;0)*ISNUMBER($F$9:$F$80)*ISNUMBER($G$9:$G$80))</f>
        <v>0</v>
      </c>
      <c r="W41" s="12">
        <f>SUMPRODUCT(($O$9:$O$80="F")*ISNUMBER($F$9:$F$80)*ISNUMBER($G$9:$G$80)*((($E$9:$E$80=U41)*($F$9:$F$80&gt;$G$9:$G$80))+(($H$9:$H$80=U41)*($G$9:$G$80&gt;$F$9:$F$80))))</f>
        <v>0</v>
      </c>
      <c r="X41" s="12">
        <f>SUMPRODUCT(($O$9:$O$80="F")*ISNUMBER($F$9:$F$80)*ISNUMBER($G$9:$G$80)*((($E$9:$E$80=U41)+($H$9:$H$80=U41))&gt;0)*($F$9:$F$80=$G$9:$G$80))</f>
        <v>0</v>
      </c>
      <c r="Y41" s="12">
        <f>V41-W41-X41</f>
        <v>0</v>
      </c>
      <c r="Z41" s="12">
        <f>SUMPRODUCT(($O$9:$O$80="F")*ISNUMBER($F$9:$F$80)*ISNUMBER($G$9:$G$80)*($E$9:$E$80=U41)*$F$9:$F$80)+SUMPRODUCT(($O$9:$O$80="F")*ISNUMBER($F$9:$F$80)*ISNUMBER($G$9:$G$80)*($H$9:$H$80=U41)*$G$9:$G$80)</f>
        <v>0</v>
      </c>
      <c r="AA41" s="12">
        <f>SUMPRODUCT(($O$9:$O$80="F")*ISNUMBER($F$9:$F$80)*ISNUMBER($G$9:$G$80)*($E$9:$E$80=U41)*$G$9:$G$80)+SUMPRODUCT(($O$9:$O$80="F")*ISNUMBER($F$9:$F$80)*ISNUMBER($G$9:$G$80)*($H$9:$H$80=U41)*$F$9:$F$80)</f>
        <v>0</v>
      </c>
      <c r="AB41" s="12">
        <f>Z41-AA41</f>
        <v>0</v>
      </c>
      <c r="AC41" s="12">
        <f>W41*3+X41</f>
        <v>0</v>
      </c>
      <c r="AD41" s="12">
        <f>IF(COUNTIF($AC$39:$AC$42,AC41)=1,0,SUMPRODUCT(($O$9:$O$80="F")*ISNUMBER($F$9:$F$80)*ISNUMBER($G$9:$G$80)*((($E$9:$E$80=U41)*(((($H$9:$H$80=$U$39)*($AC$39=AC41))+(($H$9:$H$80=$U$40)*($AC$40=AC41))+(($H$9:$H$80=$U$41)*($AC$41=AC41))+(($H$9:$H$80=$U$42)*($AC$42=AC41)) )&gt;0)*(($F$9:$F$80&gt;$G$9:$G$80)*3+($F$9:$F$80=$G$9:$G$80)))+(($H$9:$H$80=U41)*(((($E$9:$E$80=$U$39)*($AC$39=AC41))+(($E$9:$E$80=$U$40)*($AC$40=AC41))+(($E$9:$E$80=$U$41)*($AC$41=AC41))+(($E$9:$E$80=$U$42)*($AC$42=AC41)) )&gt;0)*(($G$9:$G$80&gt;$F$9:$F$80)*3+($F$9:$F$80=$G$9:$G$80))))))</f>
        <v>0</v>
      </c>
      <c r="AE41" s="12">
        <f>IF(COUNTIF($AC$39:$AC$42,AC41)=1,0,SUMPRODUCT(($O$9:$O$80="F")*ISNUMBER($F$9:$F$80)*ISNUMBER($G$9:$G$80)*((($E$9:$E$80=U41)*(((($H$9:$H$80=$U$39)*($AC$39=AC41))+(($H$9:$H$80=$U$40)*($AC$40=AC41))+(($H$9:$H$80=$U$41)*($AC$41=AC41))+(($H$9:$H$80=$U$42)*($AC$42=AC41)) )&gt;0)*($F$9:$F$80-$G$9:$G$80))+(($H$9:$H$80=U41)*(((($E$9:$E$80=$U$39)*($AC$39=AC41))+(($E$9:$E$80=$U$40)*($AC$40=AC41))+(($E$9:$E$80=$U$41)*($AC$41=AC41))+(($E$9:$E$80=$U$42)*($AC$42=AC41)) )&gt;0)*($G$9:$G$80-$F$9:$F$80)))))</f>
        <v>0</v>
      </c>
      <c r="AF41" s="12">
        <f>IF(COUNTIF($AC$39:$AC$42,AC41)=1,0,SUMPRODUCT(($O$9:$O$80="F")*ISNUMBER($F$9:$F$80)*ISNUMBER($G$9:$G$80)*((($E$9:$E$80=U41)*(((($H$9:$H$80=$U$39)*($AC$39=AC41))+(($H$9:$H$80=$U$40)*($AC$40=AC41))+(($H$9:$H$80=$U$41)*($AC$41=AC41))+(($H$9:$H$80=$U$42)*($AC$42=AC41)) )&gt;0)*$F$9:$F$80)+(($H$9:$H$80=U41)*(((($E$9:$E$80=$U$39)*($AC$39=AC41))+(($E$9:$E$80=$U$40)*($AC$40=AC41))+(($E$9:$E$80=$U$41)*($AC$41=AC41))+(($E$9:$E$80=$U$42)*($AC$42=AC41)) )&gt;0)*$G$9:$G$80))))</f>
        <v>0</v>
      </c>
      <c r="AG41" s="12">
        <f>1+SUMPRODUCT(--(($AC$39:$AC$42&gt;AC41)+(($AC$39:$AC$42=AC41)*($AD$39:$AD$42&gt;AD41))+(($AC$39:$AC$42=AC41)*($AD$39:$AD$42=AD41)*($AE$39:$AE$42&gt;AE41))+(($AC$39:$AC$42=AC41)*($AD$39:$AD$42=AD41)*($AE$39:$AE$42=AE41)*($AF$39:$AF$42&gt;AF41))+(($AC$39:$AC$42=AC41)*($AD$39:$AD$42=AD41)*($AE$39:$AE$42=AE41)*($AF$39:$AF$42=AF41)*($AB$39:$AB$42&gt;AB41))+(($AC$39:$AC$42=AC41)*($AD$39:$AD$42=AD41)*($AE$39:$AE$42=AE41)*($AF$39:$AF$42=AF41)*($AB$39:$AB$42=AB41)*($Z$39:$Z$42&gt;Z41))+(($AC$39:$AC$42=AC41)*($AD$39:$AD$42=AD41)*($AE$39:$AE$42=AE41)*($AF$39:$AF$42=AF41)*($AB$39:$AB$42=AB41)*($Z$39:$Z$42=Z41)*($U$39:$U$42&lt;U41))))</f>
        <v>3</v>
      </c>
      <c r="AO41" s="11" t="s">
        <v>187</v>
      </c>
      <c r="AP41" s="11" t="s">
        <v>30</v>
      </c>
      <c r="AQ41" s="11" t="s">
        <v>31</v>
      </c>
      <c r="AR41" s="11" t="s">
        <v>32</v>
      </c>
      <c r="AS41" s="11" t="s">
        <v>46</v>
      </c>
      <c r="AT41" s="11" t="s">
        <v>28</v>
      </c>
      <c r="AU41" s="11" t="s">
        <v>34</v>
      </c>
      <c r="AV41" s="11" t="s">
        <v>35</v>
      </c>
      <c r="AW41" s="11" t="s">
        <v>50</v>
      </c>
    </row>
    <row r="42" spans="1:70" x14ac:dyDescent="0.25">
      <c r="A42" s="2" t="str">
        <f t="shared" si="6"/>
        <v>sábado</v>
      </c>
      <c r="B42" s="14">
        <f t="shared" si="7"/>
        <v>46193.583333333321</v>
      </c>
      <c r="C42" s="15">
        <f t="shared" si="8"/>
        <v>46193.583333333321</v>
      </c>
      <c r="D42" s="2" t="s">
        <v>115</v>
      </c>
      <c r="E42" s="2" t="s">
        <v>117</v>
      </c>
      <c r="F42" s="13"/>
      <c r="G42" s="13"/>
      <c r="H42" s="2" t="s">
        <v>125</v>
      </c>
      <c r="I42" s="2">
        <v>33</v>
      </c>
      <c r="J42" s="7" t="s">
        <v>92</v>
      </c>
      <c r="K42" s="23"/>
      <c r="L42" s="24"/>
      <c r="M42" s="25"/>
      <c r="N42" s="8">
        <f t="shared" si="9"/>
        <v>46193.583333333321</v>
      </c>
      <c r="O42" s="9" t="s">
        <v>36</v>
      </c>
      <c r="P42" s="16">
        <v>46193.666666666657</v>
      </c>
      <c r="U42" s="12" t="s">
        <v>129</v>
      </c>
      <c r="V42" s="12">
        <f>SUMPRODUCT(($O$9:$O$80="F")*((($E$9:$E$80=U42)+($H$9:$H$80=U42))&gt;0)*ISNUMBER($F$9:$F$80)*ISNUMBER($G$9:$G$80))</f>
        <v>0</v>
      </c>
      <c r="W42" s="12">
        <f>SUMPRODUCT(($O$9:$O$80="F")*ISNUMBER($F$9:$F$80)*ISNUMBER($G$9:$G$80)*((($E$9:$E$80=U42)*($F$9:$F$80&gt;$G$9:$G$80))+(($H$9:$H$80=U42)*($G$9:$G$80&gt;$F$9:$F$80))))</f>
        <v>0</v>
      </c>
      <c r="X42" s="12">
        <f>SUMPRODUCT(($O$9:$O$80="F")*ISNUMBER($F$9:$F$80)*ISNUMBER($G$9:$G$80)*((($E$9:$E$80=U42)+($H$9:$H$80=U42))&gt;0)*($F$9:$F$80=$G$9:$G$80))</f>
        <v>0</v>
      </c>
      <c r="Y42" s="12">
        <f>V42-W42-X42</f>
        <v>0</v>
      </c>
      <c r="Z42" s="12">
        <f>SUMPRODUCT(($O$9:$O$80="F")*ISNUMBER($F$9:$F$80)*ISNUMBER($G$9:$G$80)*($E$9:$E$80=U42)*$F$9:$F$80)+SUMPRODUCT(($O$9:$O$80="F")*ISNUMBER($F$9:$F$80)*ISNUMBER($G$9:$G$80)*($H$9:$H$80=U42)*$G$9:$G$80)</f>
        <v>0</v>
      </c>
      <c r="AA42" s="12">
        <f>SUMPRODUCT(($O$9:$O$80="F")*ISNUMBER($F$9:$F$80)*ISNUMBER($G$9:$G$80)*($E$9:$E$80=U42)*$G$9:$G$80)+SUMPRODUCT(($O$9:$O$80="F")*ISNUMBER($F$9:$F$80)*ISNUMBER($G$9:$G$80)*($H$9:$H$80=U42)*$F$9:$F$80)</f>
        <v>0</v>
      </c>
      <c r="AB42" s="12">
        <f>Z42-AA42</f>
        <v>0</v>
      </c>
      <c r="AC42" s="12">
        <f>W42*3+X42</f>
        <v>0</v>
      </c>
      <c r="AD42" s="12">
        <f>IF(COUNTIF($AC$39:$AC$42,AC42)=1,0,SUMPRODUCT(($O$9:$O$80="F")*ISNUMBER($F$9:$F$80)*ISNUMBER($G$9:$G$80)*((($E$9:$E$80=U42)*(((($H$9:$H$80=$U$39)*($AC$39=AC42))+(($H$9:$H$80=$U$40)*($AC$40=AC42))+(($H$9:$H$80=$U$41)*($AC$41=AC42))+(($H$9:$H$80=$U$42)*($AC$42=AC42)) )&gt;0)*(($F$9:$F$80&gt;$G$9:$G$80)*3+($F$9:$F$80=$G$9:$G$80)))+(($H$9:$H$80=U42)*(((($E$9:$E$80=$U$39)*($AC$39=AC42))+(($E$9:$E$80=$U$40)*($AC$40=AC42))+(($E$9:$E$80=$U$41)*($AC$41=AC42))+(($E$9:$E$80=$U$42)*($AC$42=AC42)) )&gt;0)*(($G$9:$G$80&gt;$F$9:$F$80)*3+($F$9:$F$80=$G$9:$G$80))))))</f>
        <v>0</v>
      </c>
      <c r="AE42" s="12">
        <f>IF(COUNTIF($AC$39:$AC$42,AC42)=1,0,SUMPRODUCT(($O$9:$O$80="F")*ISNUMBER($F$9:$F$80)*ISNUMBER($G$9:$G$80)*((($E$9:$E$80=U42)*(((($H$9:$H$80=$U$39)*($AC$39=AC42))+(($H$9:$H$80=$U$40)*($AC$40=AC42))+(($H$9:$H$80=$U$41)*($AC$41=AC42))+(($H$9:$H$80=$U$42)*($AC$42=AC42)) )&gt;0)*($F$9:$F$80-$G$9:$G$80))+(($H$9:$H$80=U42)*(((($E$9:$E$80=$U$39)*($AC$39=AC42))+(($E$9:$E$80=$U$40)*($AC$40=AC42))+(($E$9:$E$80=$U$41)*($AC$41=AC42))+(($E$9:$E$80=$U$42)*($AC$42=AC42)) )&gt;0)*($G$9:$G$80-$F$9:$F$80)))))</f>
        <v>0</v>
      </c>
      <c r="AF42" s="12">
        <f>IF(COUNTIF($AC$39:$AC$42,AC42)=1,0,SUMPRODUCT(($O$9:$O$80="F")*ISNUMBER($F$9:$F$80)*ISNUMBER($G$9:$G$80)*((($E$9:$E$80=U42)*(((($H$9:$H$80=$U$39)*($AC$39=AC42))+(($H$9:$H$80=$U$40)*($AC$40=AC42))+(($H$9:$H$80=$U$41)*($AC$41=AC42))+(($H$9:$H$80=$U$42)*($AC$42=AC42)) )&gt;0)*$F$9:$F$80)+(($H$9:$H$80=U42)*(((($E$9:$E$80=$U$39)*($AC$39=AC42))+(($E$9:$E$80=$U$40)*($AC$40=AC42))+(($E$9:$E$80=$U$41)*($AC$41=AC42))+(($E$9:$E$80=$U$42)*($AC$42=AC42)) )&gt;0)*$G$9:$G$80))))</f>
        <v>0</v>
      </c>
      <c r="AG42" s="12">
        <f>1+SUMPRODUCT(--(($AC$39:$AC$42&gt;AC42)+(($AC$39:$AC$42=AC42)*($AD$39:$AD$42&gt;AD42))+(($AC$39:$AC$42=AC42)*($AD$39:$AD$42=AD42)*($AE$39:$AE$42&gt;AE42))+(($AC$39:$AC$42=AC42)*($AD$39:$AD$42=AD42)*($AE$39:$AE$42=AE42)*($AF$39:$AF$42&gt;AF42))+(($AC$39:$AC$42=AC42)*($AD$39:$AD$42=AD42)*($AE$39:$AE$42=AE42)*($AF$39:$AF$42=AF42)*($AB$39:$AB$42&gt;AB42))+(($AC$39:$AC$42=AC42)*($AD$39:$AD$42=AD42)*($AE$39:$AE$42=AE42)*($AF$39:$AF$42=AF42)*($AB$39:$AB$42=AB42)*($Z$39:$Z$42&gt;Z42))+(($AC$39:$AC$42=AC42)*($AD$39:$AD$42=AD42)*($AE$39:$AE$42=AE42)*($AF$39:$AF$42=AF42)*($AB$39:$AB$42=AB42)*($Z$39:$Z$42=Z42)*($U$39:$U$42&lt;U42))))</f>
        <v>4</v>
      </c>
      <c r="AO42" s="11" t="s">
        <v>188</v>
      </c>
      <c r="AP42" s="11" t="s">
        <v>30</v>
      </c>
      <c r="AQ42" s="11" t="s">
        <v>31</v>
      </c>
      <c r="AR42" s="11" t="s">
        <v>32</v>
      </c>
      <c r="AS42" s="11" t="s">
        <v>55</v>
      </c>
      <c r="AT42" s="11" t="s">
        <v>28</v>
      </c>
      <c r="AU42" s="11" t="s">
        <v>34</v>
      </c>
      <c r="AV42" s="11" t="s">
        <v>35</v>
      </c>
      <c r="AW42" s="11" t="s">
        <v>46</v>
      </c>
    </row>
    <row r="43" spans="1:70" x14ac:dyDescent="0.25">
      <c r="A43" s="2" t="str">
        <f t="shared" si="6"/>
        <v>sábado</v>
      </c>
      <c r="B43" s="14">
        <f t="shared" si="7"/>
        <v>46193.750000000007</v>
      </c>
      <c r="C43" s="15">
        <f t="shared" si="8"/>
        <v>46193.750000000007</v>
      </c>
      <c r="D43" s="2" t="s">
        <v>115</v>
      </c>
      <c r="E43" s="2" t="s">
        <v>76</v>
      </c>
      <c r="F43" s="13"/>
      <c r="G43" s="13"/>
      <c r="H43" s="2" t="s">
        <v>118</v>
      </c>
      <c r="I43" s="2">
        <v>34</v>
      </c>
      <c r="J43" s="7" t="s">
        <v>161</v>
      </c>
      <c r="K43" s="23"/>
      <c r="L43" s="24"/>
      <c r="M43" s="25"/>
      <c r="N43" s="8">
        <f t="shared" si="9"/>
        <v>46193.750000000007</v>
      </c>
      <c r="O43" s="9" t="s">
        <v>36</v>
      </c>
      <c r="P43" s="16">
        <v>46193.833333333343</v>
      </c>
      <c r="AO43" s="11" t="s">
        <v>189</v>
      </c>
      <c r="AP43" s="11" t="s">
        <v>30</v>
      </c>
      <c r="AQ43" s="11" t="s">
        <v>31</v>
      </c>
      <c r="AR43" s="11" t="s">
        <v>32</v>
      </c>
      <c r="AS43" s="11" t="s">
        <v>46</v>
      </c>
      <c r="AT43" s="11" t="s">
        <v>28</v>
      </c>
      <c r="AU43" s="11" t="s">
        <v>34</v>
      </c>
      <c r="AV43" s="11" t="s">
        <v>35</v>
      </c>
      <c r="AW43" s="11" t="s">
        <v>60</v>
      </c>
    </row>
    <row r="44" spans="1:70" x14ac:dyDescent="0.25">
      <c r="A44" s="2" t="str">
        <f t="shared" si="6"/>
        <v>sábado</v>
      </c>
      <c r="B44" s="14">
        <f t="shared" si="7"/>
        <v>46193.915972222218</v>
      </c>
      <c r="C44" s="15">
        <f t="shared" si="8"/>
        <v>46193.915972222218</v>
      </c>
      <c r="D44" s="2" t="s">
        <v>116</v>
      </c>
      <c r="E44" s="2" t="s">
        <v>129</v>
      </c>
      <c r="F44" s="13"/>
      <c r="G44" s="13"/>
      <c r="H44" s="2" t="s">
        <v>122</v>
      </c>
      <c r="I44" s="2">
        <v>36</v>
      </c>
      <c r="J44" s="7" t="s">
        <v>130</v>
      </c>
      <c r="K44" s="23"/>
      <c r="L44" s="24"/>
      <c r="M44" s="25"/>
      <c r="N44" s="8">
        <f t="shared" si="9"/>
        <v>46193.915972222218</v>
      </c>
      <c r="O44" s="9" t="s">
        <v>35</v>
      </c>
      <c r="P44" s="16">
        <v>46193.999305555553</v>
      </c>
      <c r="AO44" s="11" t="s">
        <v>190</v>
      </c>
      <c r="AP44" s="11" t="s">
        <v>30</v>
      </c>
      <c r="AQ44" s="11" t="s">
        <v>31</v>
      </c>
      <c r="AR44" s="11" t="s">
        <v>32</v>
      </c>
      <c r="AS44" s="11" t="s">
        <v>55</v>
      </c>
      <c r="AT44" s="11" t="s">
        <v>28</v>
      </c>
      <c r="AU44" s="11" t="s">
        <v>34</v>
      </c>
      <c r="AV44" s="11" t="s">
        <v>35</v>
      </c>
      <c r="AW44" s="11" t="s">
        <v>50</v>
      </c>
    </row>
    <row r="45" spans="1:70" x14ac:dyDescent="0.25">
      <c r="A45" s="2" t="str">
        <f t="shared" si="6"/>
        <v>domingo</v>
      </c>
      <c r="B45" s="14">
        <f t="shared" si="7"/>
        <v>46194.416666666664</v>
      </c>
      <c r="C45" s="15">
        <f t="shared" si="8"/>
        <v>46194.416666666664</v>
      </c>
      <c r="D45" s="2" t="s">
        <v>132</v>
      </c>
      <c r="E45" s="2" t="s">
        <v>27</v>
      </c>
      <c r="F45" s="13"/>
      <c r="G45" s="13"/>
      <c r="H45" s="2" t="s">
        <v>141</v>
      </c>
      <c r="I45" s="2">
        <v>38</v>
      </c>
      <c r="J45" s="7" t="s">
        <v>134</v>
      </c>
      <c r="K45" s="23"/>
      <c r="L45" s="24"/>
      <c r="M45" s="25"/>
      <c r="N45" s="8">
        <f t="shared" si="9"/>
        <v>46194.416666666664</v>
      </c>
      <c r="O45" s="9" t="s">
        <v>33</v>
      </c>
      <c r="P45" s="16">
        <v>46194.5</v>
      </c>
      <c r="U45" s="12" t="s">
        <v>4</v>
      </c>
      <c r="V45" s="12" t="s">
        <v>39</v>
      </c>
      <c r="W45" s="12" t="s">
        <v>31</v>
      </c>
      <c r="X45" s="12" t="s">
        <v>36</v>
      </c>
      <c r="Y45" s="12" t="s">
        <v>40</v>
      </c>
      <c r="Z45" s="12" t="s">
        <v>7</v>
      </c>
      <c r="AA45" s="12" t="s">
        <v>41</v>
      </c>
      <c r="AB45" s="12" t="s">
        <v>6</v>
      </c>
      <c r="AC45" s="12" t="s">
        <v>5</v>
      </c>
      <c r="AD45" s="12" t="s">
        <v>42</v>
      </c>
      <c r="AE45" s="12" t="s">
        <v>43</v>
      </c>
      <c r="AF45" s="12" t="s">
        <v>44</v>
      </c>
      <c r="AG45" s="12" t="s">
        <v>8</v>
      </c>
      <c r="AO45" s="11" t="s">
        <v>191</v>
      </c>
      <c r="AP45" s="11" t="s">
        <v>30</v>
      </c>
      <c r="AQ45" s="11" t="s">
        <v>31</v>
      </c>
      <c r="AR45" s="11" t="s">
        <v>32</v>
      </c>
      <c r="AS45" s="11" t="s">
        <v>50</v>
      </c>
      <c r="AT45" s="11" t="s">
        <v>28</v>
      </c>
      <c r="AU45" s="11" t="s">
        <v>34</v>
      </c>
      <c r="AV45" s="11" t="s">
        <v>35</v>
      </c>
      <c r="AW45" s="11" t="s">
        <v>60</v>
      </c>
    </row>
    <row r="46" spans="1:70" x14ac:dyDescent="0.25">
      <c r="A46" s="2" t="str">
        <f t="shared" si="6"/>
        <v>domingo</v>
      </c>
      <c r="B46" s="14">
        <f t="shared" si="7"/>
        <v>46194.541666666664</v>
      </c>
      <c r="C46" s="15">
        <f t="shared" si="8"/>
        <v>46194.541666666664</v>
      </c>
      <c r="D46" s="2" t="s">
        <v>136</v>
      </c>
      <c r="E46" s="2" t="s">
        <v>137</v>
      </c>
      <c r="F46" s="13"/>
      <c r="G46" s="13"/>
      <c r="H46" s="2" t="s">
        <v>147</v>
      </c>
      <c r="I46" s="2">
        <v>39</v>
      </c>
      <c r="J46" s="7" t="s">
        <v>192</v>
      </c>
      <c r="K46" s="23"/>
      <c r="L46" s="24"/>
      <c r="M46" s="25"/>
      <c r="N46" s="8">
        <f t="shared" si="9"/>
        <v>46194.541666666664</v>
      </c>
      <c r="O46" s="9" t="s">
        <v>31</v>
      </c>
      <c r="P46" s="16">
        <v>46194.625</v>
      </c>
      <c r="U46" s="12" t="s">
        <v>137</v>
      </c>
      <c r="V46" s="12">
        <f>SUMPRODUCT(($O$9:$O$80="G")*((($E$9:$E$80=U46)+($H$9:$H$80=U46))&gt;0)*ISNUMBER($F$9:$F$80)*ISNUMBER($G$9:$G$80))</f>
        <v>0</v>
      </c>
      <c r="W46" s="12">
        <f>SUMPRODUCT(($O$9:$O$80="G")*ISNUMBER($F$9:$F$80)*ISNUMBER($G$9:$G$80)*((($E$9:$E$80=U46)*($F$9:$F$80&gt;$G$9:$G$80))+(($H$9:$H$80=U46)*($G$9:$G$80&gt;$F$9:$F$80))))</f>
        <v>0</v>
      </c>
      <c r="X46" s="12">
        <f>SUMPRODUCT(($O$9:$O$80="G")*ISNUMBER($F$9:$F$80)*ISNUMBER($G$9:$G$80)*((($E$9:$E$80=U46)+($H$9:$H$80=U46))&gt;0)*($F$9:$F$80=$G$9:$G$80))</f>
        <v>0</v>
      </c>
      <c r="Y46" s="12">
        <f>V46-W46-X46</f>
        <v>0</v>
      </c>
      <c r="Z46" s="12">
        <f>SUMPRODUCT(($O$9:$O$80="G")*ISNUMBER($F$9:$F$80)*ISNUMBER($G$9:$G$80)*($E$9:$E$80=U46)*$F$9:$F$80)+SUMPRODUCT(($O$9:$O$80="G")*ISNUMBER($F$9:$F$80)*ISNUMBER($G$9:$G$80)*($H$9:$H$80=U46)*$G$9:$G$80)</f>
        <v>0</v>
      </c>
      <c r="AA46" s="12">
        <f>SUMPRODUCT(($O$9:$O$80="G")*ISNUMBER($F$9:$F$80)*ISNUMBER($G$9:$G$80)*($E$9:$E$80=U46)*$G$9:$G$80)+SUMPRODUCT(($O$9:$O$80="G")*ISNUMBER($F$9:$F$80)*ISNUMBER($G$9:$G$80)*($H$9:$H$80=U46)*$F$9:$F$80)</f>
        <v>0</v>
      </c>
      <c r="AB46" s="12">
        <f>Z46-AA46</f>
        <v>0</v>
      </c>
      <c r="AC46" s="12">
        <f>W46*3+X46</f>
        <v>0</v>
      </c>
      <c r="AD46" s="12">
        <f>IF(COUNTIF($AC$46:$AC$49,AC46)=1,0,SUMPRODUCT(($O$9:$O$80="G")*ISNUMBER($F$9:$F$80)*ISNUMBER($G$9:$G$80)*((($E$9:$E$80=U46)*(((($H$9:$H$80=$U$46)*($AC$46=AC46))+(($H$9:$H$80=$U$47)*($AC$47=AC46))+(($H$9:$H$80=$U$48)*($AC$48=AC46))+(($H$9:$H$80=$U$49)*($AC$49=AC46)) )&gt;0)*(($F$9:$F$80&gt;$G$9:$G$80)*3+($F$9:$F$80=$G$9:$G$80)))+(($H$9:$H$80=U46)*(((($E$9:$E$80=$U$46)*($AC$46=AC46))+(($E$9:$E$80=$U$47)*($AC$47=AC46))+(($E$9:$E$80=$U$48)*($AC$48=AC46))+(($E$9:$E$80=$U$49)*($AC$49=AC46)) )&gt;0)*(($G$9:$G$80&gt;$F$9:$F$80)*3+($F$9:$F$80=$G$9:$G$80))))))</f>
        <v>0</v>
      </c>
      <c r="AE46" s="12">
        <f>IF(COUNTIF($AC$46:$AC$49,AC46)=1,0,SUMPRODUCT(($O$9:$O$80="G")*ISNUMBER($F$9:$F$80)*ISNUMBER($G$9:$G$80)*((($E$9:$E$80=U46)*(((($H$9:$H$80=$U$46)*($AC$46=AC46))+(($H$9:$H$80=$U$47)*($AC$47=AC46))+(($H$9:$H$80=$U$48)*($AC$48=AC46))+(($H$9:$H$80=$U$49)*($AC$49=AC46)) )&gt;0)*($F$9:$F$80-$G$9:$G$80))+(($H$9:$H$80=U46)*(((($E$9:$E$80=$U$46)*($AC$46=AC46))+(($E$9:$E$80=$U$47)*($AC$47=AC46))+(($E$9:$E$80=$U$48)*($AC$48=AC46))+(($E$9:$E$80=$U$49)*($AC$49=AC46)) )&gt;0)*($G$9:$G$80-$F$9:$F$80)))))</f>
        <v>0</v>
      </c>
      <c r="AF46" s="12">
        <f>IF(COUNTIF($AC$46:$AC$49,AC46)=1,0,SUMPRODUCT(($O$9:$O$80="G")*ISNUMBER($F$9:$F$80)*ISNUMBER($G$9:$G$80)*((($E$9:$E$80=U46)*(((($H$9:$H$80=$U$46)*($AC$46=AC46))+(($H$9:$H$80=$U$47)*($AC$47=AC46))+(($H$9:$H$80=$U$48)*($AC$48=AC46))+(($H$9:$H$80=$U$49)*($AC$49=AC46)) )&gt;0)*$F$9:$F$80)+(($H$9:$H$80=U46)*(((($E$9:$E$80=$U$46)*($AC$46=AC46))+(($E$9:$E$80=$U$47)*($AC$47=AC46))+(($E$9:$E$80=$U$48)*($AC$48=AC46))+(($E$9:$E$80=$U$49)*($AC$49=AC46)) )&gt;0)*$G$9:$G$80))))</f>
        <v>0</v>
      </c>
      <c r="AG46" s="12">
        <f>1+SUMPRODUCT(--(($AC$46:$AC$49&gt;AC46)+(($AC$46:$AC$49=AC46)*($AD$46:$AD$49&gt;AD46))+(($AC$46:$AC$49=AC46)*($AD$46:$AD$49=AD46)*($AE$46:$AE$49&gt;AE46))+(($AC$46:$AC$49=AC46)*($AD$46:$AD$49=AD46)*($AE$46:$AE$49=AE46)*($AF$46:$AF$49&gt;AF46))+(($AC$46:$AC$49=AC46)*($AD$46:$AD$49=AD46)*($AE$46:$AE$49=AE46)*($AF$46:$AF$49=AF46)*($AB$46:$AB$49&gt;AB46))+(($AC$46:$AC$49=AC46)*($AD$46:$AD$49=AD46)*($AE$46:$AE$49=AE46)*($AF$46:$AF$49=AF46)*($AB$46:$AB$49=AB46)*($Z$46:$Z$49&gt;Z46))+(($AC$46:$AC$49=AC46)*($AD$46:$AD$49=AD46)*($AE$46:$AE$49=AE46)*($AF$46:$AF$49=AF46)*($AB$46:$AB$49=AB46)*($Z$46:$Z$49=Z46)*($U$46:$U$49&lt;U46))))</f>
        <v>1</v>
      </c>
      <c r="AO46" s="11" t="s">
        <v>193</v>
      </c>
      <c r="AP46" s="11" t="s">
        <v>30</v>
      </c>
      <c r="AQ46" s="11" t="s">
        <v>31</v>
      </c>
      <c r="AR46" s="11" t="s">
        <v>32</v>
      </c>
      <c r="AS46" s="11" t="s">
        <v>55</v>
      </c>
      <c r="AT46" s="11" t="s">
        <v>28</v>
      </c>
      <c r="AU46" s="11" t="s">
        <v>34</v>
      </c>
      <c r="AV46" s="11" t="s">
        <v>35</v>
      </c>
      <c r="AW46" s="11" t="s">
        <v>60</v>
      </c>
    </row>
    <row r="47" spans="1:70" x14ac:dyDescent="0.25">
      <c r="A47" s="2" t="str">
        <f t="shared" si="6"/>
        <v>domingo</v>
      </c>
      <c r="B47" s="14">
        <f t="shared" si="7"/>
        <v>46194.666666666664</v>
      </c>
      <c r="C47" s="15">
        <f t="shared" si="8"/>
        <v>46194.666666666664</v>
      </c>
      <c r="D47" s="2" t="s">
        <v>132</v>
      </c>
      <c r="E47" s="2" t="s">
        <v>142</v>
      </c>
      <c r="F47" s="13"/>
      <c r="G47" s="13"/>
      <c r="H47" s="2" t="s">
        <v>133</v>
      </c>
      <c r="I47" s="2">
        <v>37</v>
      </c>
      <c r="J47" s="7" t="s">
        <v>143</v>
      </c>
      <c r="K47" s="23"/>
      <c r="L47" s="24"/>
      <c r="M47" s="25"/>
      <c r="N47" s="8">
        <f t="shared" si="9"/>
        <v>46194.666666666664</v>
      </c>
      <c r="O47" s="9" t="s">
        <v>33</v>
      </c>
      <c r="P47" s="16">
        <v>46194.75</v>
      </c>
      <c r="U47" s="12" t="s">
        <v>138</v>
      </c>
      <c r="V47" s="12">
        <f>SUMPRODUCT(($O$9:$O$80="G")*((($E$9:$E$80=U47)+($H$9:$H$80=U47))&gt;0)*ISNUMBER($F$9:$F$80)*ISNUMBER($G$9:$G$80))</f>
        <v>0</v>
      </c>
      <c r="W47" s="12">
        <f>SUMPRODUCT(($O$9:$O$80="G")*ISNUMBER($F$9:$F$80)*ISNUMBER($G$9:$G$80)*((($E$9:$E$80=U47)*($F$9:$F$80&gt;$G$9:$G$80))+(($H$9:$H$80=U47)*($G$9:$G$80&gt;$F$9:$F$80))))</f>
        <v>0</v>
      </c>
      <c r="X47" s="12">
        <f>SUMPRODUCT(($O$9:$O$80="G")*ISNUMBER($F$9:$F$80)*ISNUMBER($G$9:$G$80)*((($E$9:$E$80=U47)+($H$9:$H$80=U47))&gt;0)*($F$9:$F$80=$G$9:$G$80))</f>
        <v>0</v>
      </c>
      <c r="Y47" s="12">
        <f>V47-W47-X47</f>
        <v>0</v>
      </c>
      <c r="Z47" s="12">
        <f>SUMPRODUCT(($O$9:$O$80="G")*ISNUMBER($F$9:$F$80)*ISNUMBER($G$9:$G$80)*($E$9:$E$80=U47)*$F$9:$F$80)+SUMPRODUCT(($O$9:$O$80="G")*ISNUMBER($F$9:$F$80)*ISNUMBER($G$9:$G$80)*($H$9:$H$80=U47)*$G$9:$G$80)</f>
        <v>0</v>
      </c>
      <c r="AA47" s="12">
        <f>SUMPRODUCT(($O$9:$O$80="G")*ISNUMBER($F$9:$F$80)*ISNUMBER($G$9:$G$80)*($E$9:$E$80=U47)*$G$9:$G$80)+SUMPRODUCT(($O$9:$O$80="G")*ISNUMBER($F$9:$F$80)*ISNUMBER($G$9:$G$80)*($H$9:$H$80=U47)*$F$9:$F$80)</f>
        <v>0</v>
      </c>
      <c r="AB47" s="12">
        <f>Z47-AA47</f>
        <v>0</v>
      </c>
      <c r="AC47" s="12">
        <f>W47*3+X47</f>
        <v>0</v>
      </c>
      <c r="AD47" s="12">
        <f>IF(COUNTIF($AC$46:$AC$49,AC47)=1,0,SUMPRODUCT(($O$9:$O$80="G")*ISNUMBER($F$9:$F$80)*ISNUMBER($G$9:$G$80)*((($E$9:$E$80=U47)*(((($H$9:$H$80=$U$46)*($AC$46=AC47))+(($H$9:$H$80=$U$47)*($AC$47=AC47))+(($H$9:$H$80=$U$48)*($AC$48=AC47))+(($H$9:$H$80=$U$49)*($AC$49=AC47)) )&gt;0)*(($F$9:$F$80&gt;$G$9:$G$80)*3+($F$9:$F$80=$G$9:$G$80)))+(($H$9:$H$80=U47)*(((($E$9:$E$80=$U$46)*($AC$46=AC47))+(($E$9:$E$80=$U$47)*($AC$47=AC47))+(($E$9:$E$80=$U$48)*($AC$48=AC47))+(($E$9:$E$80=$U$49)*($AC$49=AC47)) )&gt;0)*(($G$9:$G$80&gt;$F$9:$F$80)*3+($F$9:$F$80=$G$9:$G$80))))))</f>
        <v>0</v>
      </c>
      <c r="AE47" s="12">
        <f>IF(COUNTIF($AC$46:$AC$49,AC47)=1,0,SUMPRODUCT(($O$9:$O$80="G")*ISNUMBER($F$9:$F$80)*ISNUMBER($G$9:$G$80)*((($E$9:$E$80=U47)*(((($H$9:$H$80=$U$46)*($AC$46=AC47))+(($H$9:$H$80=$U$47)*($AC$47=AC47))+(($H$9:$H$80=$U$48)*($AC$48=AC47))+(($H$9:$H$80=$U$49)*($AC$49=AC47)) )&gt;0)*($F$9:$F$80-$G$9:$G$80))+(($H$9:$H$80=U47)*(((($E$9:$E$80=$U$46)*($AC$46=AC47))+(($E$9:$E$80=$U$47)*($AC$47=AC47))+(($E$9:$E$80=$U$48)*($AC$48=AC47))+(($E$9:$E$80=$U$49)*($AC$49=AC47)) )&gt;0)*($G$9:$G$80-$F$9:$F$80)))))</f>
        <v>0</v>
      </c>
      <c r="AF47" s="12">
        <f>IF(COUNTIF($AC$46:$AC$49,AC47)=1,0,SUMPRODUCT(($O$9:$O$80="G")*ISNUMBER($F$9:$F$80)*ISNUMBER($G$9:$G$80)*((($E$9:$E$80=U47)*(((($H$9:$H$80=$U$46)*($AC$46=AC47))+(($H$9:$H$80=$U$47)*($AC$47=AC47))+(($H$9:$H$80=$U$48)*($AC$48=AC47))+(($H$9:$H$80=$U$49)*($AC$49=AC47)) )&gt;0)*$F$9:$F$80)+(($H$9:$H$80=U47)*(((($E$9:$E$80=$U$46)*($AC$46=AC47))+(($E$9:$E$80=$U$47)*($AC$47=AC47))+(($E$9:$E$80=$U$48)*($AC$48=AC47))+(($E$9:$E$80=$U$49)*($AC$49=AC47)) )&gt;0)*$G$9:$G$80))))</f>
        <v>0</v>
      </c>
      <c r="AG47" s="12">
        <f>1+SUMPRODUCT(--(($AC$46:$AC$49&gt;AC47)+(($AC$46:$AC$49=AC47)*($AD$46:$AD$49&gt;AD47))+(($AC$46:$AC$49=AC47)*($AD$46:$AD$49=AD47)*($AE$46:$AE$49&gt;AE47))+(($AC$46:$AC$49=AC47)*($AD$46:$AD$49=AD47)*($AE$46:$AE$49=AE47)*($AF$46:$AF$49&gt;AF47))+(($AC$46:$AC$49=AC47)*($AD$46:$AD$49=AD47)*($AE$46:$AE$49=AE47)*($AF$46:$AF$49=AF47)*($AB$46:$AB$49&gt;AB47))+(($AC$46:$AC$49=AC47)*($AD$46:$AD$49=AD47)*($AE$46:$AE$49=AE47)*($AF$46:$AF$49=AF47)*($AB$46:$AB$49=AB47)*($Z$46:$Z$49&gt;Z47))+(($AC$46:$AC$49=AC47)*($AD$46:$AD$49=AD47)*($AE$46:$AE$49=AE47)*($AF$46:$AF$49=AF47)*($AB$46:$AB$49=AB47)*($Z$46:$Z$49=Z47)*($U$46:$U$49&lt;U47))))</f>
        <v>2</v>
      </c>
      <c r="AO47" s="11" t="s">
        <v>194</v>
      </c>
      <c r="AP47" s="11" t="s">
        <v>30</v>
      </c>
      <c r="AQ47" s="11" t="s">
        <v>32</v>
      </c>
      <c r="AR47" s="11" t="s">
        <v>35</v>
      </c>
      <c r="AS47" s="11" t="s">
        <v>33</v>
      </c>
      <c r="AT47" s="11" t="s">
        <v>28</v>
      </c>
      <c r="AU47" s="11" t="s">
        <v>34</v>
      </c>
      <c r="AV47" s="11" t="s">
        <v>50</v>
      </c>
      <c r="AW47" s="11" t="s">
        <v>46</v>
      </c>
    </row>
    <row r="48" spans="1:70" x14ac:dyDescent="0.25">
      <c r="A48" s="2" t="str">
        <f t="shared" si="6"/>
        <v>domingo</v>
      </c>
      <c r="B48" s="14">
        <f t="shared" si="7"/>
        <v>46194.791666666664</v>
      </c>
      <c r="C48" s="15">
        <f t="shared" si="8"/>
        <v>46194.791666666664</v>
      </c>
      <c r="D48" s="2" t="s">
        <v>136</v>
      </c>
      <c r="E48" s="2" t="s">
        <v>148</v>
      </c>
      <c r="F48" s="13"/>
      <c r="G48" s="13"/>
      <c r="H48" s="2" t="s">
        <v>138</v>
      </c>
      <c r="I48" s="2">
        <v>40</v>
      </c>
      <c r="J48" s="7" t="s">
        <v>113</v>
      </c>
      <c r="K48" s="23"/>
      <c r="L48" s="24"/>
      <c r="M48" s="25"/>
      <c r="N48" s="8">
        <f t="shared" si="9"/>
        <v>46194.791666666664</v>
      </c>
      <c r="O48" s="9" t="s">
        <v>31</v>
      </c>
      <c r="P48" s="16">
        <v>46194.875</v>
      </c>
      <c r="U48" s="12" t="s">
        <v>147</v>
      </c>
      <c r="V48" s="12">
        <f>SUMPRODUCT(($O$9:$O$80="G")*((($E$9:$E$80=U48)+($H$9:$H$80=U48))&gt;0)*ISNUMBER($F$9:$F$80)*ISNUMBER($G$9:$G$80))</f>
        <v>0</v>
      </c>
      <c r="W48" s="12">
        <f>SUMPRODUCT(($O$9:$O$80="G")*ISNUMBER($F$9:$F$80)*ISNUMBER($G$9:$G$80)*((($E$9:$E$80=U48)*($F$9:$F$80&gt;$G$9:$G$80))+(($H$9:$H$80=U48)*($G$9:$G$80&gt;$F$9:$F$80))))</f>
        <v>0</v>
      </c>
      <c r="X48" s="12">
        <f>SUMPRODUCT(($O$9:$O$80="G")*ISNUMBER($F$9:$F$80)*ISNUMBER($G$9:$G$80)*((($E$9:$E$80=U48)+($H$9:$H$80=U48))&gt;0)*($F$9:$F$80=$G$9:$G$80))</f>
        <v>0</v>
      </c>
      <c r="Y48" s="12">
        <f>V48-W48-X48</f>
        <v>0</v>
      </c>
      <c r="Z48" s="12">
        <f>SUMPRODUCT(($O$9:$O$80="G")*ISNUMBER($F$9:$F$80)*ISNUMBER($G$9:$G$80)*($E$9:$E$80=U48)*$F$9:$F$80)+SUMPRODUCT(($O$9:$O$80="G")*ISNUMBER($F$9:$F$80)*ISNUMBER($G$9:$G$80)*($H$9:$H$80=U48)*$G$9:$G$80)</f>
        <v>0</v>
      </c>
      <c r="AA48" s="12">
        <f>SUMPRODUCT(($O$9:$O$80="G")*ISNUMBER($F$9:$F$80)*ISNUMBER($G$9:$G$80)*($E$9:$E$80=U48)*$G$9:$G$80)+SUMPRODUCT(($O$9:$O$80="G")*ISNUMBER($F$9:$F$80)*ISNUMBER($G$9:$G$80)*($H$9:$H$80=U48)*$F$9:$F$80)</f>
        <v>0</v>
      </c>
      <c r="AB48" s="12">
        <f>Z48-AA48</f>
        <v>0</v>
      </c>
      <c r="AC48" s="12">
        <f>W48*3+X48</f>
        <v>0</v>
      </c>
      <c r="AD48" s="12">
        <f>IF(COUNTIF($AC$46:$AC$49,AC48)=1,0,SUMPRODUCT(($O$9:$O$80="G")*ISNUMBER($F$9:$F$80)*ISNUMBER($G$9:$G$80)*((($E$9:$E$80=U48)*(((($H$9:$H$80=$U$46)*($AC$46=AC48))+(($H$9:$H$80=$U$47)*($AC$47=AC48))+(($H$9:$H$80=$U$48)*($AC$48=AC48))+(($H$9:$H$80=$U$49)*($AC$49=AC48)) )&gt;0)*(($F$9:$F$80&gt;$G$9:$G$80)*3+($F$9:$F$80=$G$9:$G$80)))+(($H$9:$H$80=U48)*(((($E$9:$E$80=$U$46)*($AC$46=AC48))+(($E$9:$E$80=$U$47)*($AC$47=AC48))+(($E$9:$E$80=$U$48)*($AC$48=AC48))+(($E$9:$E$80=$U$49)*($AC$49=AC48)) )&gt;0)*(($G$9:$G$80&gt;$F$9:$F$80)*3+($F$9:$F$80=$G$9:$G$80))))))</f>
        <v>0</v>
      </c>
      <c r="AE48" s="12">
        <f>IF(COUNTIF($AC$46:$AC$49,AC48)=1,0,SUMPRODUCT(($O$9:$O$80="G")*ISNUMBER($F$9:$F$80)*ISNUMBER($G$9:$G$80)*((($E$9:$E$80=U48)*(((($H$9:$H$80=$U$46)*($AC$46=AC48))+(($H$9:$H$80=$U$47)*($AC$47=AC48))+(($H$9:$H$80=$U$48)*($AC$48=AC48))+(($H$9:$H$80=$U$49)*($AC$49=AC48)) )&gt;0)*($F$9:$F$80-$G$9:$G$80))+(($H$9:$H$80=U48)*(((($E$9:$E$80=$U$46)*($AC$46=AC48))+(($E$9:$E$80=$U$47)*($AC$47=AC48))+(($E$9:$E$80=$U$48)*($AC$48=AC48))+(($E$9:$E$80=$U$49)*($AC$49=AC48)) )&gt;0)*($G$9:$G$80-$F$9:$F$80)))))</f>
        <v>0</v>
      </c>
      <c r="AF48" s="12">
        <f>IF(COUNTIF($AC$46:$AC$49,AC48)=1,0,SUMPRODUCT(($O$9:$O$80="G")*ISNUMBER($F$9:$F$80)*ISNUMBER($G$9:$G$80)*((($E$9:$E$80=U48)*(((($H$9:$H$80=$U$46)*($AC$46=AC48))+(($H$9:$H$80=$U$47)*($AC$47=AC48))+(($H$9:$H$80=$U$48)*($AC$48=AC48))+(($H$9:$H$80=$U$49)*($AC$49=AC48)) )&gt;0)*$F$9:$F$80)+(($H$9:$H$80=U48)*(((($E$9:$E$80=$U$46)*($AC$46=AC48))+(($E$9:$E$80=$U$47)*($AC$47=AC48))+(($E$9:$E$80=$U$48)*($AC$48=AC48))+(($E$9:$E$80=$U$49)*($AC$49=AC48)) )&gt;0)*$G$9:$G$80))))</f>
        <v>0</v>
      </c>
      <c r="AG48" s="12">
        <f>1+SUMPRODUCT(--(($AC$46:$AC$49&gt;AC48)+(($AC$46:$AC$49=AC48)*($AD$46:$AD$49&gt;AD48))+(($AC$46:$AC$49=AC48)*($AD$46:$AD$49=AD48)*($AE$46:$AE$49&gt;AE48))+(($AC$46:$AC$49=AC48)*($AD$46:$AD$49=AD48)*($AE$46:$AE$49=AE48)*($AF$46:$AF$49&gt;AF48))+(($AC$46:$AC$49=AC48)*($AD$46:$AD$49=AD48)*($AE$46:$AE$49=AE48)*($AF$46:$AF$49=AF48)*($AB$46:$AB$49&gt;AB48))+(($AC$46:$AC$49=AC48)*($AD$46:$AD$49=AD48)*($AE$46:$AE$49=AE48)*($AF$46:$AF$49=AF48)*($AB$46:$AB$49=AB48)*($Z$46:$Z$49&gt;Z48))+(($AC$46:$AC$49=AC48)*($AD$46:$AD$49=AD48)*($AE$46:$AE$49=AE48)*($AF$46:$AF$49=AF48)*($AB$46:$AB$49=AB48)*($Z$46:$Z$49=Z48)*($U$46:$U$49&lt;U48))))</f>
        <v>3</v>
      </c>
      <c r="AO48" s="11" t="s">
        <v>195</v>
      </c>
      <c r="AP48" s="11" t="s">
        <v>30</v>
      </c>
      <c r="AQ48" s="11" t="s">
        <v>32</v>
      </c>
      <c r="AR48" s="11" t="s">
        <v>33</v>
      </c>
      <c r="AS48" s="11" t="s">
        <v>55</v>
      </c>
      <c r="AT48" s="11" t="s">
        <v>28</v>
      </c>
      <c r="AU48" s="11" t="s">
        <v>34</v>
      </c>
      <c r="AV48" s="11" t="s">
        <v>35</v>
      </c>
      <c r="AW48" s="11" t="s">
        <v>46</v>
      </c>
    </row>
    <row r="49" spans="1:49" x14ac:dyDescent="0.25">
      <c r="A49" s="2" t="str">
        <f t="shared" si="6"/>
        <v>lunes</v>
      </c>
      <c r="B49" s="14">
        <f t="shared" si="7"/>
        <v>46195.458333333321</v>
      </c>
      <c r="C49" s="15">
        <f t="shared" si="8"/>
        <v>46195.458333333321</v>
      </c>
      <c r="D49" s="2" t="s">
        <v>159</v>
      </c>
      <c r="E49" s="2" t="s">
        <v>62</v>
      </c>
      <c r="F49" s="13"/>
      <c r="G49" s="13"/>
      <c r="H49" s="2" t="s">
        <v>163</v>
      </c>
      <c r="I49" s="2">
        <v>43</v>
      </c>
      <c r="J49" s="7" t="s">
        <v>123</v>
      </c>
      <c r="K49" s="23"/>
      <c r="L49" s="24"/>
      <c r="M49" s="25"/>
      <c r="N49" s="8">
        <f t="shared" si="9"/>
        <v>46195.458333333321</v>
      </c>
      <c r="O49" s="9" t="s">
        <v>50</v>
      </c>
      <c r="P49" s="16">
        <v>46195.541666666657</v>
      </c>
      <c r="U49" s="12" t="s">
        <v>148</v>
      </c>
      <c r="V49" s="12">
        <f>SUMPRODUCT(($O$9:$O$80="G")*((($E$9:$E$80=U49)+($H$9:$H$80=U49))&gt;0)*ISNUMBER($F$9:$F$80)*ISNUMBER($G$9:$G$80))</f>
        <v>0</v>
      </c>
      <c r="W49" s="12">
        <f>SUMPRODUCT(($O$9:$O$80="G")*ISNUMBER($F$9:$F$80)*ISNUMBER($G$9:$G$80)*((($E$9:$E$80=U49)*($F$9:$F$80&gt;$G$9:$G$80))+(($H$9:$H$80=U49)*($G$9:$G$80&gt;$F$9:$F$80))))</f>
        <v>0</v>
      </c>
      <c r="X49" s="12">
        <f>SUMPRODUCT(($O$9:$O$80="G")*ISNUMBER($F$9:$F$80)*ISNUMBER($G$9:$G$80)*((($E$9:$E$80=U49)+($H$9:$H$80=U49))&gt;0)*($F$9:$F$80=$G$9:$G$80))</f>
        <v>0</v>
      </c>
      <c r="Y49" s="12">
        <f>V49-W49-X49</f>
        <v>0</v>
      </c>
      <c r="Z49" s="12">
        <f>SUMPRODUCT(($O$9:$O$80="G")*ISNUMBER($F$9:$F$80)*ISNUMBER($G$9:$G$80)*($E$9:$E$80=U49)*$F$9:$F$80)+SUMPRODUCT(($O$9:$O$80="G")*ISNUMBER($F$9:$F$80)*ISNUMBER($G$9:$G$80)*($H$9:$H$80=U49)*$G$9:$G$80)</f>
        <v>0</v>
      </c>
      <c r="AA49" s="12">
        <f>SUMPRODUCT(($O$9:$O$80="G")*ISNUMBER($F$9:$F$80)*ISNUMBER($G$9:$G$80)*($E$9:$E$80=U49)*$G$9:$G$80)+SUMPRODUCT(($O$9:$O$80="G")*ISNUMBER($F$9:$F$80)*ISNUMBER($G$9:$G$80)*($H$9:$H$80=U49)*$F$9:$F$80)</f>
        <v>0</v>
      </c>
      <c r="AB49" s="12">
        <f>Z49-AA49</f>
        <v>0</v>
      </c>
      <c r="AC49" s="12">
        <f>W49*3+X49</f>
        <v>0</v>
      </c>
      <c r="AD49" s="12">
        <f>IF(COUNTIF($AC$46:$AC$49,AC49)=1,0,SUMPRODUCT(($O$9:$O$80="G")*ISNUMBER($F$9:$F$80)*ISNUMBER($G$9:$G$80)*((($E$9:$E$80=U49)*(((($H$9:$H$80=$U$46)*($AC$46=AC49))+(($H$9:$H$80=$U$47)*($AC$47=AC49))+(($H$9:$H$80=$U$48)*($AC$48=AC49))+(($H$9:$H$80=$U$49)*($AC$49=AC49)) )&gt;0)*(($F$9:$F$80&gt;$G$9:$G$80)*3+($F$9:$F$80=$G$9:$G$80)))+(($H$9:$H$80=U49)*(((($E$9:$E$80=$U$46)*($AC$46=AC49))+(($E$9:$E$80=$U$47)*($AC$47=AC49))+(($E$9:$E$80=$U$48)*($AC$48=AC49))+(($E$9:$E$80=$U$49)*($AC$49=AC49)) )&gt;0)*(($G$9:$G$80&gt;$F$9:$F$80)*3+($F$9:$F$80=$G$9:$G$80))))))</f>
        <v>0</v>
      </c>
      <c r="AE49" s="12">
        <f>IF(COUNTIF($AC$46:$AC$49,AC49)=1,0,SUMPRODUCT(($O$9:$O$80="G")*ISNUMBER($F$9:$F$80)*ISNUMBER($G$9:$G$80)*((($E$9:$E$80=U49)*(((($H$9:$H$80=$U$46)*($AC$46=AC49))+(($H$9:$H$80=$U$47)*($AC$47=AC49))+(($H$9:$H$80=$U$48)*($AC$48=AC49))+(($H$9:$H$80=$U$49)*($AC$49=AC49)) )&gt;0)*($F$9:$F$80-$G$9:$G$80))+(($H$9:$H$80=U49)*(((($E$9:$E$80=$U$46)*($AC$46=AC49))+(($E$9:$E$80=$U$47)*($AC$47=AC49))+(($E$9:$E$80=$U$48)*($AC$48=AC49))+(($E$9:$E$80=$U$49)*($AC$49=AC49)) )&gt;0)*($G$9:$G$80-$F$9:$F$80)))))</f>
        <v>0</v>
      </c>
      <c r="AF49" s="12">
        <f>IF(COUNTIF($AC$46:$AC$49,AC49)=1,0,SUMPRODUCT(($O$9:$O$80="G")*ISNUMBER($F$9:$F$80)*ISNUMBER($G$9:$G$80)*((($E$9:$E$80=U49)*(((($H$9:$H$80=$U$46)*($AC$46=AC49))+(($H$9:$H$80=$U$47)*($AC$47=AC49))+(($H$9:$H$80=$U$48)*($AC$48=AC49))+(($H$9:$H$80=$U$49)*($AC$49=AC49)) )&gt;0)*$F$9:$F$80)+(($H$9:$H$80=U49)*(((($E$9:$E$80=$U$46)*($AC$46=AC49))+(($E$9:$E$80=$U$47)*($AC$47=AC49))+(($E$9:$E$80=$U$48)*($AC$48=AC49))+(($E$9:$E$80=$U$49)*($AC$49=AC49)) )&gt;0)*$G$9:$G$80))))</f>
        <v>0</v>
      </c>
      <c r="AG49" s="12">
        <f>1+SUMPRODUCT(--(($AC$46:$AC$49&gt;AC49)+(($AC$46:$AC$49=AC49)*($AD$46:$AD$49&gt;AD49))+(($AC$46:$AC$49=AC49)*($AD$46:$AD$49=AD49)*($AE$46:$AE$49&gt;AE49))+(($AC$46:$AC$49=AC49)*($AD$46:$AD$49=AD49)*($AE$46:$AE$49=AE49)*($AF$46:$AF$49&gt;AF49))+(($AC$46:$AC$49=AC49)*($AD$46:$AD$49=AD49)*($AE$46:$AE$49=AE49)*($AF$46:$AF$49=AF49)*($AB$46:$AB$49&gt;AB49))+(($AC$46:$AC$49=AC49)*($AD$46:$AD$49=AD49)*($AE$46:$AE$49=AE49)*($AF$46:$AF$49=AF49)*($AB$46:$AB$49=AB49)*($Z$46:$Z$49&gt;Z49))+(($AC$46:$AC$49=AC49)*($AD$46:$AD$49=AD49)*($AE$46:$AE$49=AE49)*($AF$46:$AF$49=AF49)*($AB$46:$AB$49=AB49)*($Z$46:$Z$49=Z49)*($U$46:$U$49&lt;U49))))</f>
        <v>4</v>
      </c>
      <c r="AO49" s="11" t="s">
        <v>196</v>
      </c>
      <c r="AP49" s="11" t="s">
        <v>30</v>
      </c>
      <c r="AQ49" s="11" t="s">
        <v>32</v>
      </c>
      <c r="AR49" s="11" t="s">
        <v>35</v>
      </c>
      <c r="AS49" s="11" t="s">
        <v>33</v>
      </c>
      <c r="AT49" s="11" t="s">
        <v>28</v>
      </c>
      <c r="AU49" s="11" t="s">
        <v>34</v>
      </c>
      <c r="AV49" s="11" t="s">
        <v>46</v>
      </c>
      <c r="AW49" s="11" t="s">
        <v>60</v>
      </c>
    </row>
    <row r="50" spans="1:49" x14ac:dyDescent="0.25">
      <c r="A50" s="2" t="str">
        <f t="shared" si="6"/>
        <v>lunes</v>
      </c>
      <c r="B50" s="14">
        <f t="shared" si="7"/>
        <v>46195.625000000007</v>
      </c>
      <c r="C50" s="15">
        <f t="shared" si="8"/>
        <v>46195.625000000007</v>
      </c>
      <c r="D50" s="2" t="s">
        <v>150</v>
      </c>
      <c r="E50" s="2" t="s">
        <v>153</v>
      </c>
      <c r="F50" s="13"/>
      <c r="G50" s="13"/>
      <c r="H50" s="2" t="s">
        <v>156</v>
      </c>
      <c r="I50" s="2">
        <v>42</v>
      </c>
      <c r="J50" s="7" t="s">
        <v>126</v>
      </c>
      <c r="K50" s="23"/>
      <c r="L50" s="24"/>
      <c r="M50" s="25"/>
      <c r="N50" s="8">
        <f t="shared" si="9"/>
        <v>46195.625000000007</v>
      </c>
      <c r="O50" s="9" t="s">
        <v>46</v>
      </c>
      <c r="P50" s="16">
        <v>46195.708333333343</v>
      </c>
      <c r="AO50" s="11" t="s">
        <v>197</v>
      </c>
      <c r="AP50" s="11" t="s">
        <v>30</v>
      </c>
      <c r="AQ50" s="11" t="s">
        <v>32</v>
      </c>
      <c r="AR50" s="11" t="s">
        <v>33</v>
      </c>
      <c r="AS50" s="11" t="s">
        <v>55</v>
      </c>
      <c r="AT50" s="11" t="s">
        <v>28</v>
      </c>
      <c r="AU50" s="11" t="s">
        <v>34</v>
      </c>
      <c r="AV50" s="11" t="s">
        <v>35</v>
      </c>
      <c r="AW50" s="11" t="s">
        <v>50</v>
      </c>
    </row>
    <row r="51" spans="1:49" x14ac:dyDescent="0.25">
      <c r="A51" s="2" t="str">
        <f t="shared" si="6"/>
        <v>lunes</v>
      </c>
      <c r="B51" s="14">
        <f t="shared" si="7"/>
        <v>46195.750000000007</v>
      </c>
      <c r="C51" s="15">
        <f t="shared" si="8"/>
        <v>46195.750000000007</v>
      </c>
      <c r="D51" s="2" t="s">
        <v>150</v>
      </c>
      <c r="E51" s="2" t="s">
        <v>157</v>
      </c>
      <c r="F51" s="13"/>
      <c r="G51" s="13"/>
      <c r="H51" s="2" t="s">
        <v>154</v>
      </c>
      <c r="I51" s="2">
        <v>41</v>
      </c>
      <c r="J51" s="7" t="s">
        <v>105</v>
      </c>
      <c r="K51" s="23"/>
      <c r="L51" s="24"/>
      <c r="M51" s="25"/>
      <c r="N51" s="8">
        <f t="shared" si="9"/>
        <v>46195.750000000007</v>
      </c>
      <c r="O51" s="9" t="s">
        <v>46</v>
      </c>
      <c r="P51" s="16">
        <v>46195.833333333343</v>
      </c>
      <c r="AO51" s="11" t="s">
        <v>198</v>
      </c>
      <c r="AP51" s="11" t="s">
        <v>30</v>
      </c>
      <c r="AQ51" s="11" t="s">
        <v>32</v>
      </c>
      <c r="AR51" s="11" t="s">
        <v>35</v>
      </c>
      <c r="AS51" s="11" t="s">
        <v>33</v>
      </c>
      <c r="AT51" s="11" t="s">
        <v>28</v>
      </c>
      <c r="AU51" s="11" t="s">
        <v>34</v>
      </c>
      <c r="AV51" s="11" t="s">
        <v>50</v>
      </c>
      <c r="AW51" s="11" t="s">
        <v>60</v>
      </c>
    </row>
    <row r="52" spans="1:49" x14ac:dyDescent="0.25">
      <c r="A52" s="2" t="str">
        <f t="shared" si="6"/>
        <v>lunes</v>
      </c>
      <c r="B52" s="14">
        <f t="shared" si="7"/>
        <v>46195.875000000007</v>
      </c>
      <c r="C52" s="15">
        <f t="shared" si="8"/>
        <v>46195.875000000007</v>
      </c>
      <c r="D52" s="2" t="s">
        <v>159</v>
      </c>
      <c r="E52" s="2" t="s">
        <v>164</v>
      </c>
      <c r="F52" s="13"/>
      <c r="G52" s="13"/>
      <c r="H52" s="2" t="s">
        <v>160</v>
      </c>
      <c r="I52" s="2">
        <v>44</v>
      </c>
      <c r="J52" s="7" t="s">
        <v>101</v>
      </c>
      <c r="K52" s="23"/>
      <c r="L52" s="24"/>
      <c r="M52" s="25"/>
      <c r="N52" s="8">
        <f t="shared" si="9"/>
        <v>46195.875000000007</v>
      </c>
      <c r="O52" s="9" t="s">
        <v>50</v>
      </c>
      <c r="P52" s="16">
        <v>46195.958333333343</v>
      </c>
      <c r="U52" s="12" t="s">
        <v>4</v>
      </c>
      <c r="V52" s="12" t="s">
        <v>39</v>
      </c>
      <c r="W52" s="12" t="s">
        <v>31</v>
      </c>
      <c r="X52" s="12" t="s">
        <v>36</v>
      </c>
      <c r="Y52" s="12" t="s">
        <v>40</v>
      </c>
      <c r="Z52" s="12" t="s">
        <v>7</v>
      </c>
      <c r="AA52" s="12" t="s">
        <v>41</v>
      </c>
      <c r="AB52" s="12" t="s">
        <v>6</v>
      </c>
      <c r="AC52" s="12" t="s">
        <v>5</v>
      </c>
      <c r="AD52" s="12" t="s">
        <v>42</v>
      </c>
      <c r="AE52" s="12" t="s">
        <v>43</v>
      </c>
      <c r="AF52" s="12" t="s">
        <v>44</v>
      </c>
      <c r="AG52" s="12" t="s">
        <v>8</v>
      </c>
      <c r="AO52" s="11" t="s">
        <v>199</v>
      </c>
      <c r="AP52" s="11" t="s">
        <v>30</v>
      </c>
      <c r="AQ52" s="11" t="s">
        <v>32</v>
      </c>
      <c r="AR52" s="11" t="s">
        <v>33</v>
      </c>
      <c r="AS52" s="11" t="s">
        <v>55</v>
      </c>
      <c r="AT52" s="11" t="s">
        <v>28</v>
      </c>
      <c r="AU52" s="11" t="s">
        <v>34</v>
      </c>
      <c r="AV52" s="11" t="s">
        <v>35</v>
      </c>
      <c r="AW52" s="11" t="s">
        <v>60</v>
      </c>
    </row>
    <row r="53" spans="1:49" x14ac:dyDescent="0.25">
      <c r="A53" s="2" t="str">
        <f t="shared" si="6"/>
        <v>martes</v>
      </c>
      <c r="B53" s="14">
        <f t="shared" si="7"/>
        <v>46196.458333333321</v>
      </c>
      <c r="C53" s="15">
        <f t="shared" si="8"/>
        <v>46196.458333333321</v>
      </c>
      <c r="D53" s="2" t="s">
        <v>166</v>
      </c>
      <c r="E53" s="2" t="s">
        <v>167</v>
      </c>
      <c r="F53" s="13"/>
      <c r="G53" s="13"/>
      <c r="H53" s="2" t="s">
        <v>177</v>
      </c>
      <c r="I53" s="2">
        <v>47</v>
      </c>
      <c r="J53" s="7" t="s">
        <v>119</v>
      </c>
      <c r="K53" s="23"/>
      <c r="L53" s="24"/>
      <c r="M53" s="25"/>
      <c r="N53" s="8">
        <f t="shared" si="9"/>
        <v>46196.458333333321</v>
      </c>
      <c r="O53" s="9" t="s">
        <v>55</v>
      </c>
      <c r="P53" s="16">
        <v>46196.541666666657</v>
      </c>
      <c r="U53" s="12" t="s">
        <v>27</v>
      </c>
      <c r="V53" s="12">
        <f>SUMPRODUCT(($O$9:$O$80="H")*((($E$9:$E$80=U53)+($H$9:$H$80=U53))&gt;0)*ISNUMBER($F$9:$F$80)*ISNUMBER($G$9:$G$80))</f>
        <v>0</v>
      </c>
      <c r="W53" s="12">
        <f>SUMPRODUCT(($O$9:$O$80="H")*ISNUMBER($F$9:$F$80)*ISNUMBER($G$9:$G$80)*((($E$9:$E$80=U53)*($F$9:$F$80&gt;$G$9:$G$80))+(($H$9:$H$80=U53)*($G$9:$G$80&gt;$F$9:$F$80))))</f>
        <v>0</v>
      </c>
      <c r="X53" s="12">
        <f>SUMPRODUCT(($O$9:$O$80="H")*ISNUMBER($F$9:$F$80)*ISNUMBER($G$9:$G$80)*((($E$9:$E$80=U53)+($H$9:$H$80=U53))&gt;0)*($F$9:$F$80=$G$9:$G$80))</f>
        <v>0</v>
      </c>
      <c r="Y53" s="12">
        <f>V53-W53-X53</f>
        <v>0</v>
      </c>
      <c r="Z53" s="12">
        <f>SUMPRODUCT(($O$9:$O$80="H")*ISNUMBER($F$9:$F$80)*ISNUMBER($G$9:$G$80)*($E$9:$E$80=U53)*$F$9:$F$80)+SUMPRODUCT(($O$9:$O$80="H")*ISNUMBER($F$9:$F$80)*ISNUMBER($G$9:$G$80)*($H$9:$H$80=U53)*$G$9:$G$80)</f>
        <v>0</v>
      </c>
      <c r="AA53" s="12">
        <f>SUMPRODUCT(($O$9:$O$80="H")*ISNUMBER($F$9:$F$80)*ISNUMBER($G$9:$G$80)*($E$9:$E$80=U53)*$G$9:$G$80)+SUMPRODUCT(($O$9:$O$80="H")*ISNUMBER($F$9:$F$80)*ISNUMBER($G$9:$G$80)*($H$9:$H$80=U53)*$F$9:$F$80)</f>
        <v>0</v>
      </c>
      <c r="AB53" s="12">
        <f>Z53-AA53</f>
        <v>0</v>
      </c>
      <c r="AC53" s="12">
        <f>W53*3+X53</f>
        <v>0</v>
      </c>
      <c r="AD53" s="12">
        <f>IF(COUNTIF($AC$53:$AC$56,AC53)=1,0,SUMPRODUCT(($O$9:$O$80="H")*ISNUMBER($F$9:$F$80)*ISNUMBER($G$9:$G$80)*((($E$9:$E$80=U53)*(((($H$9:$H$80=$U$53)*($AC$53=AC53))+(($H$9:$H$80=$U$54)*($AC$54=AC53))+(($H$9:$H$80=$U$55)*($AC$55=AC53))+(($H$9:$H$80=$U$56)*($AC$56=AC53)) )&gt;0)*(($F$9:$F$80&gt;$G$9:$G$80)*3+($F$9:$F$80=$G$9:$G$80)))+(($H$9:$H$80=U53)*(((($E$9:$E$80=$U$53)*($AC$53=AC53))+(($E$9:$E$80=$U$54)*($AC$54=AC53))+(($E$9:$E$80=$U$55)*($AC$55=AC53))+(($E$9:$E$80=$U$56)*($AC$56=AC53)) )&gt;0)*(($G$9:$G$80&gt;$F$9:$F$80)*3+($F$9:$F$80=$G$9:$G$80))))))</f>
        <v>0</v>
      </c>
      <c r="AE53" s="12">
        <f>IF(COUNTIF($AC$53:$AC$56,AC53)=1,0,SUMPRODUCT(($O$9:$O$80="H")*ISNUMBER($F$9:$F$80)*ISNUMBER($G$9:$G$80)*((($E$9:$E$80=U53)*(((($H$9:$H$80=$U$53)*($AC$53=AC53))+(($H$9:$H$80=$U$54)*($AC$54=AC53))+(($H$9:$H$80=$U$55)*($AC$55=AC53))+(($H$9:$H$80=$U$56)*($AC$56=AC53)) )&gt;0)*($F$9:$F$80-$G$9:$G$80))+(($H$9:$H$80=U53)*(((($E$9:$E$80=$U$53)*($AC$53=AC53))+(($E$9:$E$80=$U$54)*($AC$54=AC53))+(($E$9:$E$80=$U$55)*($AC$55=AC53))+(($E$9:$E$80=$U$56)*($AC$56=AC53)) )&gt;0)*($G$9:$G$80-$F$9:$F$80)))))</f>
        <v>0</v>
      </c>
      <c r="AF53" s="12">
        <f>IF(COUNTIF($AC$53:$AC$56,AC53)=1,0,SUMPRODUCT(($O$9:$O$80="H")*ISNUMBER($F$9:$F$80)*ISNUMBER($G$9:$G$80)*((($E$9:$E$80=U53)*(((($H$9:$H$80=$U$53)*($AC$53=AC53))+(($H$9:$H$80=$U$54)*($AC$54=AC53))+(($H$9:$H$80=$U$55)*($AC$55=AC53))+(($H$9:$H$80=$U$56)*($AC$56=AC53)) )&gt;0)*$F$9:$F$80)+(($H$9:$H$80=U53)*(((($E$9:$E$80=$U$53)*($AC$53=AC53))+(($E$9:$E$80=$U$54)*($AC$54=AC53))+(($E$9:$E$80=$U$55)*($AC$55=AC53))+(($E$9:$E$80=$U$56)*($AC$56=AC53)) )&gt;0)*$G$9:$G$80))))</f>
        <v>0</v>
      </c>
      <c r="AG53" s="12">
        <f>1+SUMPRODUCT(--(($AC$53:$AC$56&gt;AC53)+(($AC$53:$AC$56=AC53)*($AD$53:$AD$56&gt;AD53))+(($AC$53:$AC$56=AC53)*($AD$53:$AD$56=AD53)*($AE$53:$AE$56&gt;AE53))+(($AC$53:$AC$56=AC53)*($AD$53:$AD$56=AD53)*($AE$53:$AE$56=AE53)*($AF$53:$AF$56&gt;AF53))+(($AC$53:$AC$56=AC53)*($AD$53:$AD$56=AD53)*($AE$53:$AE$56=AE53)*($AF$53:$AF$56=AF53)*($AB$53:$AB$56&gt;AB53))+(($AC$53:$AC$56=AC53)*($AD$53:$AD$56=AD53)*($AE$53:$AE$56=AE53)*($AF$53:$AF$56=AF53)*($AB$53:$AB$56=AB53)*($Z$53:$Z$56&gt;Z53))+(($AC$53:$AC$56=AC53)*($AD$53:$AD$56=AD53)*($AE$53:$AE$56=AE53)*($AF$53:$AF$56=AF53)*($AB$53:$AB$56=AB53)*($Z$53:$Z$56=Z53)*($U$53:$U$56&lt;U53))))</f>
        <v>3</v>
      </c>
      <c r="AO53" s="11" t="s">
        <v>200</v>
      </c>
      <c r="AP53" s="11" t="s">
        <v>30</v>
      </c>
      <c r="AQ53" s="11" t="s">
        <v>32</v>
      </c>
      <c r="AR53" s="11" t="s">
        <v>35</v>
      </c>
      <c r="AS53" s="11" t="s">
        <v>55</v>
      </c>
      <c r="AT53" s="11" t="s">
        <v>28</v>
      </c>
      <c r="AU53" s="11" t="s">
        <v>34</v>
      </c>
      <c r="AV53" s="11" t="s">
        <v>50</v>
      </c>
      <c r="AW53" s="11" t="s">
        <v>46</v>
      </c>
    </row>
    <row r="54" spans="1:49" x14ac:dyDescent="0.25">
      <c r="A54" s="2" t="str">
        <f t="shared" si="6"/>
        <v>martes</v>
      </c>
      <c r="B54" s="14">
        <f t="shared" si="7"/>
        <v>46196.583333333321</v>
      </c>
      <c r="C54" s="15">
        <f t="shared" si="8"/>
        <v>46196.583333333321</v>
      </c>
      <c r="D54" s="2" t="s">
        <v>170</v>
      </c>
      <c r="E54" s="2" t="s">
        <v>171</v>
      </c>
      <c r="F54" s="13"/>
      <c r="G54" s="13"/>
      <c r="H54" s="2" t="s">
        <v>174</v>
      </c>
      <c r="I54" s="2">
        <v>45</v>
      </c>
      <c r="J54" s="7" t="s">
        <v>109</v>
      </c>
      <c r="K54" s="23"/>
      <c r="L54" s="24"/>
      <c r="M54" s="25"/>
      <c r="N54" s="8">
        <f t="shared" si="9"/>
        <v>46196.583333333321</v>
      </c>
      <c r="O54" s="9" t="s">
        <v>60</v>
      </c>
      <c r="P54" s="16">
        <v>46196.666666666657</v>
      </c>
      <c r="U54" s="12" t="s">
        <v>133</v>
      </c>
      <c r="V54" s="12">
        <f>SUMPRODUCT(($O$9:$O$80="H")*((($E$9:$E$80=U54)+($H$9:$H$80=U54))&gt;0)*ISNUMBER($F$9:$F$80)*ISNUMBER($G$9:$G$80))</f>
        <v>0</v>
      </c>
      <c r="W54" s="12">
        <f>SUMPRODUCT(($O$9:$O$80="H")*ISNUMBER($F$9:$F$80)*ISNUMBER($G$9:$G$80)*((($E$9:$E$80=U54)*($F$9:$F$80&gt;$G$9:$G$80))+(($H$9:$H$80=U54)*($G$9:$G$80&gt;$F$9:$F$80))))</f>
        <v>0</v>
      </c>
      <c r="X54" s="12">
        <f>SUMPRODUCT(($O$9:$O$80="H")*ISNUMBER($F$9:$F$80)*ISNUMBER($G$9:$G$80)*((($E$9:$E$80=U54)+($H$9:$H$80=U54))&gt;0)*($F$9:$F$80=$G$9:$G$80))</f>
        <v>0</v>
      </c>
      <c r="Y54" s="12">
        <f>V54-W54-X54</f>
        <v>0</v>
      </c>
      <c r="Z54" s="12">
        <f>SUMPRODUCT(($O$9:$O$80="H")*ISNUMBER($F$9:$F$80)*ISNUMBER($G$9:$G$80)*($E$9:$E$80=U54)*$F$9:$F$80)+SUMPRODUCT(($O$9:$O$80="H")*ISNUMBER($F$9:$F$80)*ISNUMBER($G$9:$G$80)*($H$9:$H$80=U54)*$G$9:$G$80)</f>
        <v>0</v>
      </c>
      <c r="AA54" s="12">
        <f>SUMPRODUCT(($O$9:$O$80="H")*ISNUMBER($F$9:$F$80)*ISNUMBER($G$9:$G$80)*($E$9:$E$80=U54)*$G$9:$G$80)+SUMPRODUCT(($O$9:$O$80="H")*ISNUMBER($F$9:$F$80)*ISNUMBER($G$9:$G$80)*($H$9:$H$80=U54)*$F$9:$F$80)</f>
        <v>0</v>
      </c>
      <c r="AB54" s="12">
        <f>Z54-AA54</f>
        <v>0</v>
      </c>
      <c r="AC54" s="12">
        <f>W54*3+X54</f>
        <v>0</v>
      </c>
      <c r="AD54" s="12">
        <f>IF(COUNTIF($AC$53:$AC$56,AC54)=1,0,SUMPRODUCT(($O$9:$O$80="H")*ISNUMBER($F$9:$F$80)*ISNUMBER($G$9:$G$80)*((($E$9:$E$80=U54)*(((($H$9:$H$80=$U$53)*($AC$53=AC54))+(($H$9:$H$80=$U$54)*($AC$54=AC54))+(($H$9:$H$80=$U$55)*($AC$55=AC54))+(($H$9:$H$80=$U$56)*($AC$56=AC54)) )&gt;0)*(($F$9:$F$80&gt;$G$9:$G$80)*3+($F$9:$F$80=$G$9:$G$80)))+(($H$9:$H$80=U54)*(((($E$9:$E$80=$U$53)*($AC$53=AC54))+(($E$9:$E$80=$U$54)*($AC$54=AC54))+(($E$9:$E$80=$U$55)*($AC$55=AC54))+(($E$9:$E$80=$U$56)*($AC$56=AC54)) )&gt;0)*(($G$9:$G$80&gt;$F$9:$F$80)*3+($F$9:$F$80=$G$9:$G$80))))))</f>
        <v>0</v>
      </c>
      <c r="AE54" s="12">
        <f>IF(COUNTIF($AC$53:$AC$56,AC54)=1,0,SUMPRODUCT(($O$9:$O$80="H")*ISNUMBER($F$9:$F$80)*ISNUMBER($G$9:$G$80)*((($E$9:$E$80=U54)*(((($H$9:$H$80=$U$53)*($AC$53=AC54))+(($H$9:$H$80=$U$54)*($AC$54=AC54))+(($H$9:$H$80=$U$55)*($AC$55=AC54))+(($H$9:$H$80=$U$56)*($AC$56=AC54)) )&gt;0)*($F$9:$F$80-$G$9:$G$80))+(($H$9:$H$80=U54)*(((($E$9:$E$80=$U$53)*($AC$53=AC54))+(($E$9:$E$80=$U$54)*($AC$54=AC54))+(($E$9:$E$80=$U$55)*($AC$55=AC54))+(($E$9:$E$80=$U$56)*($AC$56=AC54)) )&gt;0)*($G$9:$G$80-$F$9:$F$80)))))</f>
        <v>0</v>
      </c>
      <c r="AF54" s="12">
        <f>IF(COUNTIF($AC$53:$AC$56,AC54)=1,0,SUMPRODUCT(($O$9:$O$80="H")*ISNUMBER($F$9:$F$80)*ISNUMBER($G$9:$G$80)*((($E$9:$E$80=U54)*(((($H$9:$H$80=$U$53)*($AC$53=AC54))+(($H$9:$H$80=$U$54)*($AC$54=AC54))+(($H$9:$H$80=$U$55)*($AC$55=AC54))+(($H$9:$H$80=$U$56)*($AC$56=AC54)) )&gt;0)*$F$9:$F$80)+(($H$9:$H$80=U54)*(((($E$9:$E$80=$U$53)*($AC$53=AC54))+(($E$9:$E$80=$U$54)*($AC$54=AC54))+(($E$9:$E$80=$U$55)*($AC$55=AC54))+(($E$9:$E$80=$U$56)*($AC$56=AC54)) )&gt;0)*$G$9:$G$80))))</f>
        <v>0</v>
      </c>
      <c r="AG54" s="12">
        <f>1+SUMPRODUCT(--(($AC$53:$AC$56&gt;AC54)+(($AC$53:$AC$56=AC54)*($AD$53:$AD$56&gt;AD54))+(($AC$53:$AC$56=AC54)*($AD$53:$AD$56=AD54)*($AE$53:$AE$56&gt;AE54))+(($AC$53:$AC$56=AC54)*($AD$53:$AD$56=AD54)*($AE$53:$AE$56=AE54)*($AF$53:$AF$56&gt;AF54))+(($AC$53:$AC$56=AC54)*($AD$53:$AD$56=AD54)*($AE$53:$AE$56=AE54)*($AF$53:$AF$56=AF54)*($AB$53:$AB$56&gt;AB54))+(($AC$53:$AC$56=AC54)*($AD$53:$AD$56=AD54)*($AE$53:$AE$56=AE54)*($AF$53:$AF$56=AF54)*($AB$53:$AB$56=AB54)*($Z$53:$Z$56&gt;Z54))+(($AC$53:$AC$56=AC54)*($AD$53:$AD$56=AD54)*($AE$53:$AE$56=AE54)*($AF$53:$AF$56=AF54)*($AB$53:$AB$56=AB54)*($Z$53:$Z$56=Z54)*($U$53:$U$56&lt;U54))))</f>
        <v>2</v>
      </c>
      <c r="AO54" s="11" t="s">
        <v>201</v>
      </c>
      <c r="AP54" s="11" t="s">
        <v>30</v>
      </c>
      <c r="AQ54" s="11" t="s">
        <v>32</v>
      </c>
      <c r="AR54" s="11" t="s">
        <v>35</v>
      </c>
      <c r="AS54" s="11" t="s">
        <v>46</v>
      </c>
      <c r="AT54" s="11" t="s">
        <v>28</v>
      </c>
      <c r="AU54" s="11" t="s">
        <v>34</v>
      </c>
      <c r="AV54" s="11" t="s">
        <v>50</v>
      </c>
      <c r="AW54" s="11" t="s">
        <v>60</v>
      </c>
    </row>
    <row r="55" spans="1:49" x14ac:dyDescent="0.25">
      <c r="A55" s="2" t="str">
        <f t="shared" si="6"/>
        <v>martes</v>
      </c>
      <c r="B55" s="14">
        <f t="shared" si="7"/>
        <v>46196.708333333321</v>
      </c>
      <c r="C55" s="15">
        <f t="shared" si="8"/>
        <v>46196.708333333321</v>
      </c>
      <c r="D55" s="2" t="s">
        <v>170</v>
      </c>
      <c r="E55" s="2" t="s">
        <v>175</v>
      </c>
      <c r="F55" s="13"/>
      <c r="G55" s="13"/>
      <c r="H55" s="2" t="s">
        <v>172</v>
      </c>
      <c r="I55" s="2">
        <v>46</v>
      </c>
      <c r="J55" s="7" t="s">
        <v>92</v>
      </c>
      <c r="K55" s="23"/>
      <c r="L55" s="24"/>
      <c r="M55" s="25"/>
      <c r="N55" s="8">
        <f t="shared" si="9"/>
        <v>46196.708333333321</v>
      </c>
      <c r="O55" s="9" t="s">
        <v>60</v>
      </c>
      <c r="P55" s="16">
        <v>46196.791666666657</v>
      </c>
      <c r="U55" s="12" t="s">
        <v>141</v>
      </c>
      <c r="V55" s="12">
        <f>SUMPRODUCT(($O$9:$O$80="H")*((($E$9:$E$80=U55)+($H$9:$H$80=U55))&gt;0)*ISNUMBER($F$9:$F$80)*ISNUMBER($G$9:$G$80))</f>
        <v>0</v>
      </c>
      <c r="W55" s="12">
        <f>SUMPRODUCT(($O$9:$O$80="H")*ISNUMBER($F$9:$F$80)*ISNUMBER($G$9:$G$80)*((($E$9:$E$80=U55)*($F$9:$F$80&gt;$G$9:$G$80))+(($H$9:$H$80=U55)*($G$9:$G$80&gt;$F$9:$F$80))))</f>
        <v>0</v>
      </c>
      <c r="X55" s="12">
        <f>SUMPRODUCT(($O$9:$O$80="H")*ISNUMBER($F$9:$F$80)*ISNUMBER($G$9:$G$80)*((($E$9:$E$80=U55)+($H$9:$H$80=U55))&gt;0)*($F$9:$F$80=$G$9:$G$80))</f>
        <v>0</v>
      </c>
      <c r="Y55" s="12">
        <f>V55-W55-X55</f>
        <v>0</v>
      </c>
      <c r="Z55" s="12">
        <f>SUMPRODUCT(($O$9:$O$80="H")*ISNUMBER($F$9:$F$80)*ISNUMBER($G$9:$G$80)*($E$9:$E$80=U55)*$F$9:$F$80)+SUMPRODUCT(($O$9:$O$80="H")*ISNUMBER($F$9:$F$80)*ISNUMBER($G$9:$G$80)*($H$9:$H$80=U55)*$G$9:$G$80)</f>
        <v>0</v>
      </c>
      <c r="AA55" s="12">
        <f>SUMPRODUCT(($O$9:$O$80="H")*ISNUMBER($F$9:$F$80)*ISNUMBER($G$9:$G$80)*($E$9:$E$80=U55)*$G$9:$G$80)+SUMPRODUCT(($O$9:$O$80="H")*ISNUMBER($F$9:$F$80)*ISNUMBER($G$9:$G$80)*($H$9:$H$80=U55)*$F$9:$F$80)</f>
        <v>0</v>
      </c>
      <c r="AB55" s="12">
        <f>Z55-AA55</f>
        <v>0</v>
      </c>
      <c r="AC55" s="12">
        <f>W55*3+X55</f>
        <v>0</v>
      </c>
      <c r="AD55" s="12">
        <f>IF(COUNTIF($AC$53:$AC$56,AC55)=1,0,SUMPRODUCT(($O$9:$O$80="H")*ISNUMBER($F$9:$F$80)*ISNUMBER($G$9:$G$80)*((($E$9:$E$80=U55)*(((($H$9:$H$80=$U$53)*($AC$53=AC55))+(($H$9:$H$80=$U$54)*($AC$54=AC55))+(($H$9:$H$80=$U$55)*($AC$55=AC55))+(($H$9:$H$80=$U$56)*($AC$56=AC55)) )&gt;0)*(($F$9:$F$80&gt;$G$9:$G$80)*3+($F$9:$F$80=$G$9:$G$80)))+(($H$9:$H$80=U55)*(((($E$9:$E$80=$U$53)*($AC$53=AC55))+(($E$9:$E$80=$U$54)*($AC$54=AC55))+(($E$9:$E$80=$U$55)*($AC$55=AC55))+(($E$9:$E$80=$U$56)*($AC$56=AC55)) )&gt;0)*(($G$9:$G$80&gt;$F$9:$F$80)*3+($F$9:$F$80=$G$9:$G$80))))))</f>
        <v>0</v>
      </c>
      <c r="AE55" s="12">
        <f>IF(COUNTIF($AC$53:$AC$56,AC55)=1,0,SUMPRODUCT(($O$9:$O$80="H")*ISNUMBER($F$9:$F$80)*ISNUMBER($G$9:$G$80)*((($E$9:$E$80=U55)*(((($H$9:$H$80=$U$53)*($AC$53=AC55))+(($H$9:$H$80=$U$54)*($AC$54=AC55))+(($H$9:$H$80=$U$55)*($AC$55=AC55))+(($H$9:$H$80=$U$56)*($AC$56=AC55)) )&gt;0)*($F$9:$F$80-$G$9:$G$80))+(($H$9:$H$80=U55)*(((($E$9:$E$80=$U$53)*($AC$53=AC55))+(($E$9:$E$80=$U$54)*($AC$54=AC55))+(($E$9:$E$80=$U$55)*($AC$55=AC55))+(($E$9:$E$80=$U$56)*($AC$56=AC55)) )&gt;0)*($G$9:$G$80-$F$9:$F$80)))))</f>
        <v>0</v>
      </c>
      <c r="AF55" s="12">
        <f>IF(COUNTIF($AC$53:$AC$56,AC55)=1,0,SUMPRODUCT(($O$9:$O$80="H")*ISNUMBER($F$9:$F$80)*ISNUMBER($G$9:$G$80)*((($E$9:$E$80=U55)*(((($H$9:$H$80=$U$53)*($AC$53=AC55))+(($H$9:$H$80=$U$54)*($AC$54=AC55))+(($H$9:$H$80=$U$55)*($AC$55=AC55))+(($H$9:$H$80=$U$56)*($AC$56=AC55)) )&gt;0)*$F$9:$F$80)+(($H$9:$H$80=U55)*(((($E$9:$E$80=$U$53)*($AC$53=AC55))+(($E$9:$E$80=$U$54)*($AC$54=AC55))+(($E$9:$E$80=$U$55)*($AC$55=AC55))+(($E$9:$E$80=$U$56)*($AC$56=AC55)) )&gt;0)*$G$9:$G$80))))</f>
        <v>0</v>
      </c>
      <c r="AG55" s="12">
        <f>1+SUMPRODUCT(--(($AC$53:$AC$56&gt;AC55)+(($AC$53:$AC$56=AC55)*($AD$53:$AD$56&gt;AD55))+(($AC$53:$AC$56=AC55)*($AD$53:$AD$56=AD55)*($AE$53:$AE$56&gt;AE55))+(($AC$53:$AC$56=AC55)*($AD$53:$AD$56=AD55)*($AE$53:$AE$56=AE55)*($AF$53:$AF$56&gt;AF55))+(($AC$53:$AC$56=AC55)*($AD$53:$AD$56=AD55)*($AE$53:$AE$56=AE55)*($AF$53:$AF$56=AF55)*($AB$53:$AB$56&gt;AB55))+(($AC$53:$AC$56=AC55)*($AD$53:$AD$56=AD55)*($AE$53:$AE$56=AE55)*($AF$53:$AF$56=AF55)*($AB$53:$AB$56=AB55)*($Z$53:$Z$56&gt;Z55))+(($AC$53:$AC$56=AC55)*($AD$53:$AD$56=AD55)*($AE$53:$AE$56=AE55)*($AF$53:$AF$56=AF55)*($AB$53:$AB$56=AB55)*($Z$53:$Z$56=Z55)*($U$53:$U$56&lt;U55))))</f>
        <v>1</v>
      </c>
      <c r="AO55" s="11" t="s">
        <v>202</v>
      </c>
      <c r="AP55" s="11" t="s">
        <v>30</v>
      </c>
      <c r="AQ55" s="11" t="s">
        <v>32</v>
      </c>
      <c r="AR55" s="11" t="s">
        <v>35</v>
      </c>
      <c r="AS55" s="11" t="s">
        <v>55</v>
      </c>
      <c r="AT55" s="11" t="s">
        <v>28</v>
      </c>
      <c r="AU55" s="11" t="s">
        <v>34</v>
      </c>
      <c r="AV55" s="11" t="s">
        <v>46</v>
      </c>
      <c r="AW55" s="11" t="s">
        <v>60</v>
      </c>
    </row>
    <row r="56" spans="1:49" x14ac:dyDescent="0.25">
      <c r="A56" s="2" t="str">
        <f t="shared" si="6"/>
        <v>martes</v>
      </c>
      <c r="B56" s="14">
        <f t="shared" si="7"/>
        <v>46196.833333333321</v>
      </c>
      <c r="C56" s="15">
        <f t="shared" si="8"/>
        <v>46196.833333333321</v>
      </c>
      <c r="D56" s="2" t="s">
        <v>166</v>
      </c>
      <c r="E56" s="2" t="s">
        <v>57</v>
      </c>
      <c r="F56" s="13"/>
      <c r="G56" s="13"/>
      <c r="H56" s="2" t="s">
        <v>168</v>
      </c>
      <c r="I56" s="2">
        <v>48</v>
      </c>
      <c r="J56" s="7" t="s">
        <v>88</v>
      </c>
      <c r="K56" s="23"/>
      <c r="L56" s="24"/>
      <c r="M56" s="25"/>
      <c r="N56" s="8">
        <f t="shared" si="9"/>
        <v>46196.833333333321</v>
      </c>
      <c r="O56" s="9" t="s">
        <v>55</v>
      </c>
      <c r="P56" s="16">
        <v>46196.916666666657</v>
      </c>
      <c r="U56" s="12" t="s">
        <v>142</v>
      </c>
      <c r="V56" s="12">
        <f>SUMPRODUCT(($O$9:$O$80="H")*((($E$9:$E$80=U56)+($H$9:$H$80=U56))&gt;0)*ISNUMBER($F$9:$F$80)*ISNUMBER($G$9:$G$80))</f>
        <v>0</v>
      </c>
      <c r="W56" s="12">
        <f>SUMPRODUCT(($O$9:$O$80="H")*ISNUMBER($F$9:$F$80)*ISNUMBER($G$9:$G$80)*((($E$9:$E$80=U56)*($F$9:$F$80&gt;$G$9:$G$80))+(($H$9:$H$80=U56)*($G$9:$G$80&gt;$F$9:$F$80))))</f>
        <v>0</v>
      </c>
      <c r="X56" s="12">
        <f>SUMPRODUCT(($O$9:$O$80="H")*ISNUMBER($F$9:$F$80)*ISNUMBER($G$9:$G$80)*((($E$9:$E$80=U56)+($H$9:$H$80=U56))&gt;0)*($F$9:$F$80=$G$9:$G$80))</f>
        <v>0</v>
      </c>
      <c r="Y56" s="12">
        <f>V56-W56-X56</f>
        <v>0</v>
      </c>
      <c r="Z56" s="12">
        <f>SUMPRODUCT(($O$9:$O$80="H")*ISNUMBER($F$9:$F$80)*ISNUMBER($G$9:$G$80)*($E$9:$E$80=U56)*$F$9:$F$80)+SUMPRODUCT(($O$9:$O$80="H")*ISNUMBER($F$9:$F$80)*ISNUMBER($G$9:$G$80)*($H$9:$H$80=U56)*$G$9:$G$80)</f>
        <v>0</v>
      </c>
      <c r="AA56" s="12">
        <f>SUMPRODUCT(($O$9:$O$80="H")*ISNUMBER($F$9:$F$80)*ISNUMBER($G$9:$G$80)*($E$9:$E$80=U56)*$G$9:$G$80)+SUMPRODUCT(($O$9:$O$80="H")*ISNUMBER($F$9:$F$80)*ISNUMBER($G$9:$G$80)*($H$9:$H$80=U56)*$F$9:$F$80)</f>
        <v>0</v>
      </c>
      <c r="AB56" s="12">
        <f>Z56-AA56</f>
        <v>0</v>
      </c>
      <c r="AC56" s="12">
        <f>W56*3+X56</f>
        <v>0</v>
      </c>
      <c r="AD56" s="12">
        <f>IF(COUNTIF($AC$53:$AC$56,AC56)=1,0,SUMPRODUCT(($O$9:$O$80="H")*ISNUMBER($F$9:$F$80)*ISNUMBER($G$9:$G$80)*((($E$9:$E$80=U56)*(((($H$9:$H$80=$U$53)*($AC$53=AC56))+(($H$9:$H$80=$U$54)*($AC$54=AC56))+(($H$9:$H$80=$U$55)*($AC$55=AC56))+(($H$9:$H$80=$U$56)*($AC$56=AC56)) )&gt;0)*(($F$9:$F$80&gt;$G$9:$G$80)*3+($F$9:$F$80=$G$9:$G$80)))+(($H$9:$H$80=U56)*(((($E$9:$E$80=$U$53)*($AC$53=AC56))+(($E$9:$E$80=$U$54)*($AC$54=AC56))+(($E$9:$E$80=$U$55)*($AC$55=AC56))+(($E$9:$E$80=$U$56)*($AC$56=AC56)) )&gt;0)*(($G$9:$G$80&gt;$F$9:$F$80)*3+($F$9:$F$80=$G$9:$G$80))))))</f>
        <v>0</v>
      </c>
      <c r="AE56" s="12">
        <f>IF(COUNTIF($AC$53:$AC$56,AC56)=1,0,SUMPRODUCT(($O$9:$O$80="H")*ISNUMBER($F$9:$F$80)*ISNUMBER($G$9:$G$80)*((($E$9:$E$80=U56)*(((($H$9:$H$80=$U$53)*($AC$53=AC56))+(($H$9:$H$80=$U$54)*($AC$54=AC56))+(($H$9:$H$80=$U$55)*($AC$55=AC56))+(($H$9:$H$80=$U$56)*($AC$56=AC56)) )&gt;0)*($F$9:$F$80-$G$9:$G$80))+(($H$9:$H$80=U56)*(((($E$9:$E$80=$U$53)*($AC$53=AC56))+(($E$9:$E$80=$U$54)*($AC$54=AC56))+(($E$9:$E$80=$U$55)*($AC$55=AC56))+(($E$9:$E$80=$U$56)*($AC$56=AC56)) )&gt;0)*($G$9:$G$80-$F$9:$F$80)))))</f>
        <v>0</v>
      </c>
      <c r="AF56" s="12">
        <f>IF(COUNTIF($AC$53:$AC$56,AC56)=1,0,SUMPRODUCT(($O$9:$O$80="H")*ISNUMBER($F$9:$F$80)*ISNUMBER($G$9:$G$80)*((($E$9:$E$80=U56)*(((($H$9:$H$80=$U$53)*($AC$53=AC56))+(($H$9:$H$80=$U$54)*($AC$54=AC56))+(($H$9:$H$80=$U$55)*($AC$55=AC56))+(($H$9:$H$80=$U$56)*($AC$56=AC56)) )&gt;0)*$F$9:$F$80)+(($H$9:$H$80=U56)*(((($E$9:$E$80=$U$53)*($AC$53=AC56))+(($E$9:$E$80=$U$54)*($AC$54=AC56))+(($E$9:$E$80=$U$55)*($AC$55=AC56))+(($E$9:$E$80=$U$56)*($AC$56=AC56)) )&gt;0)*$G$9:$G$80))))</f>
        <v>0</v>
      </c>
      <c r="AG56" s="12">
        <f>1+SUMPRODUCT(--(($AC$53:$AC$56&gt;AC56)+(($AC$53:$AC$56=AC56)*($AD$53:$AD$56&gt;AD56))+(($AC$53:$AC$56=AC56)*($AD$53:$AD$56=AD56)*($AE$53:$AE$56&gt;AE56))+(($AC$53:$AC$56=AC56)*($AD$53:$AD$56=AD56)*($AE$53:$AE$56=AE56)*($AF$53:$AF$56&gt;AF56))+(($AC$53:$AC$56=AC56)*($AD$53:$AD$56=AD56)*($AE$53:$AE$56=AE56)*($AF$53:$AF$56=AF56)*($AB$53:$AB$56&gt;AB56))+(($AC$53:$AC$56=AC56)*($AD$53:$AD$56=AD56)*($AE$53:$AE$56=AE56)*($AF$53:$AF$56=AF56)*($AB$53:$AB$56=AB56)*($Z$53:$Z$56&gt;Z56))+(($AC$53:$AC$56=AC56)*($AD$53:$AD$56=AD56)*($AE$53:$AE$56=AE56)*($AF$53:$AF$56=AF56)*($AB$53:$AB$56=AB56)*($Z$53:$Z$56=Z56)*($U$53:$U$56&lt;U56))))</f>
        <v>4</v>
      </c>
      <c r="AO56" s="11" t="s">
        <v>203</v>
      </c>
      <c r="AP56" s="11" t="s">
        <v>30</v>
      </c>
      <c r="AQ56" s="11" t="s">
        <v>32</v>
      </c>
      <c r="AR56" s="11" t="s">
        <v>35</v>
      </c>
      <c r="AS56" s="11" t="s">
        <v>55</v>
      </c>
      <c r="AT56" s="11" t="s">
        <v>28</v>
      </c>
      <c r="AU56" s="11" t="s">
        <v>34</v>
      </c>
      <c r="AV56" s="11" t="s">
        <v>50</v>
      </c>
      <c r="AW56" s="11" t="s">
        <v>60</v>
      </c>
    </row>
    <row r="57" spans="1:49" x14ac:dyDescent="0.25">
      <c r="A57" s="2" t="str">
        <f t="shared" si="6"/>
        <v>miércoles</v>
      </c>
      <c r="B57" s="14">
        <f t="shared" si="7"/>
        <v>46197.541666666664</v>
      </c>
      <c r="C57" s="15">
        <f t="shared" si="8"/>
        <v>46197.541666666664</v>
      </c>
      <c r="D57" s="2" t="s">
        <v>80</v>
      </c>
      <c r="E57" s="2" t="s">
        <v>100</v>
      </c>
      <c r="F57" s="13"/>
      <c r="G57" s="13"/>
      <c r="H57" s="2" t="s">
        <v>90</v>
      </c>
      <c r="I57" s="2">
        <v>51</v>
      </c>
      <c r="J57" s="7" t="s">
        <v>113</v>
      </c>
      <c r="K57" s="23"/>
      <c r="L57" s="24"/>
      <c r="M57" s="25"/>
      <c r="N57" s="8">
        <f t="shared" si="9"/>
        <v>46197.541666666664</v>
      </c>
      <c r="O57" s="9" t="s">
        <v>34</v>
      </c>
      <c r="P57" s="16">
        <v>46197.625</v>
      </c>
      <c r="AO57" s="11" t="s">
        <v>204</v>
      </c>
      <c r="AP57" s="11" t="s">
        <v>30</v>
      </c>
      <c r="AQ57" s="11" t="s">
        <v>31</v>
      </c>
      <c r="AR57" s="11" t="s">
        <v>32</v>
      </c>
      <c r="AS57" s="11" t="s">
        <v>33</v>
      </c>
      <c r="AT57" s="11" t="s">
        <v>28</v>
      </c>
      <c r="AU57" s="11" t="s">
        <v>34</v>
      </c>
      <c r="AV57" s="11" t="s">
        <v>50</v>
      </c>
      <c r="AW57" s="11" t="s">
        <v>46</v>
      </c>
    </row>
    <row r="58" spans="1:49" x14ac:dyDescent="0.25">
      <c r="A58" s="2" t="str">
        <f t="shared" si="6"/>
        <v>miércoles</v>
      </c>
      <c r="B58" s="14">
        <f t="shared" si="7"/>
        <v>46197.541666666664</v>
      </c>
      <c r="C58" s="15">
        <f t="shared" si="8"/>
        <v>46197.541666666664</v>
      </c>
      <c r="D58" s="2" t="s">
        <v>80</v>
      </c>
      <c r="E58" s="2" t="s">
        <v>91</v>
      </c>
      <c r="F58" s="13"/>
      <c r="G58" s="13"/>
      <c r="H58" s="2" t="s">
        <v>99</v>
      </c>
      <c r="I58" s="2">
        <v>52</v>
      </c>
      <c r="J58" s="7" t="s">
        <v>139</v>
      </c>
      <c r="K58" s="23"/>
      <c r="L58" s="24"/>
      <c r="M58" s="25"/>
      <c r="N58" s="8">
        <f t="shared" si="9"/>
        <v>46197.541666666664</v>
      </c>
      <c r="O58" s="9" t="s">
        <v>34</v>
      </c>
      <c r="P58" s="16">
        <v>46197.625</v>
      </c>
      <c r="AO58" s="11" t="s">
        <v>205</v>
      </c>
      <c r="AP58" s="11" t="s">
        <v>30</v>
      </c>
      <c r="AQ58" s="11" t="s">
        <v>32</v>
      </c>
      <c r="AR58" s="11" t="s">
        <v>33</v>
      </c>
      <c r="AS58" s="11" t="s">
        <v>55</v>
      </c>
      <c r="AT58" s="11" t="s">
        <v>28</v>
      </c>
      <c r="AU58" s="11" t="s">
        <v>34</v>
      </c>
      <c r="AV58" s="11" t="s">
        <v>31</v>
      </c>
      <c r="AW58" s="11" t="s">
        <v>46</v>
      </c>
    </row>
    <row r="59" spans="1:49" x14ac:dyDescent="0.25">
      <c r="A59" s="2" t="str">
        <f t="shared" si="6"/>
        <v>miércoles</v>
      </c>
      <c r="B59" s="14">
        <f t="shared" si="7"/>
        <v>46197.666666666664</v>
      </c>
      <c r="C59" s="15">
        <f t="shared" si="8"/>
        <v>46197.666666666664</v>
      </c>
      <c r="D59" s="2" t="s">
        <v>81</v>
      </c>
      <c r="E59" s="2" t="s">
        <v>108</v>
      </c>
      <c r="F59" s="13"/>
      <c r="G59" s="13"/>
      <c r="H59" s="2" t="s">
        <v>103</v>
      </c>
      <c r="I59" s="2">
        <v>49</v>
      </c>
      <c r="J59" s="7" t="s">
        <v>143</v>
      </c>
      <c r="K59" s="23"/>
      <c r="L59" s="24"/>
      <c r="M59" s="25"/>
      <c r="N59" s="8">
        <f t="shared" si="9"/>
        <v>46197.666666666664</v>
      </c>
      <c r="O59" s="9" t="s">
        <v>32</v>
      </c>
      <c r="P59" s="16">
        <v>46197.75</v>
      </c>
      <c r="U59" s="12" t="s">
        <v>4</v>
      </c>
      <c r="V59" s="12" t="s">
        <v>39</v>
      </c>
      <c r="W59" s="12" t="s">
        <v>31</v>
      </c>
      <c r="X59" s="12" t="s">
        <v>36</v>
      </c>
      <c r="Y59" s="12" t="s">
        <v>40</v>
      </c>
      <c r="Z59" s="12" t="s">
        <v>7</v>
      </c>
      <c r="AA59" s="12" t="s">
        <v>41</v>
      </c>
      <c r="AB59" s="12" t="s">
        <v>6</v>
      </c>
      <c r="AC59" s="12" t="s">
        <v>5</v>
      </c>
      <c r="AD59" s="12" t="s">
        <v>42</v>
      </c>
      <c r="AE59" s="12" t="s">
        <v>43</v>
      </c>
      <c r="AF59" s="12" t="s">
        <v>44</v>
      </c>
      <c r="AG59" s="12" t="s">
        <v>8</v>
      </c>
      <c r="AO59" s="11" t="s">
        <v>206</v>
      </c>
      <c r="AP59" s="11" t="s">
        <v>30</v>
      </c>
      <c r="AQ59" s="11" t="s">
        <v>31</v>
      </c>
      <c r="AR59" s="11" t="s">
        <v>32</v>
      </c>
      <c r="AS59" s="11" t="s">
        <v>33</v>
      </c>
      <c r="AT59" s="11" t="s">
        <v>28</v>
      </c>
      <c r="AU59" s="11" t="s">
        <v>34</v>
      </c>
      <c r="AV59" s="11" t="s">
        <v>46</v>
      </c>
      <c r="AW59" s="11" t="s">
        <v>60</v>
      </c>
    </row>
    <row r="60" spans="1:49" x14ac:dyDescent="0.25">
      <c r="A60" s="2" t="str">
        <f t="shared" si="6"/>
        <v>miércoles</v>
      </c>
      <c r="B60" s="14">
        <f t="shared" si="7"/>
        <v>46197.666666666664</v>
      </c>
      <c r="C60" s="15">
        <f t="shared" si="8"/>
        <v>46197.666666666664</v>
      </c>
      <c r="D60" s="2" t="s">
        <v>81</v>
      </c>
      <c r="E60" s="2" t="s">
        <v>104</v>
      </c>
      <c r="F60" s="13"/>
      <c r="G60" s="13"/>
      <c r="H60" s="2" t="s">
        <v>107</v>
      </c>
      <c r="I60" s="2">
        <v>50</v>
      </c>
      <c r="J60" s="7" t="s">
        <v>134</v>
      </c>
      <c r="K60" s="23"/>
      <c r="L60" s="24"/>
      <c r="M60" s="25"/>
      <c r="N60" s="8">
        <f t="shared" si="9"/>
        <v>46197.666666666664</v>
      </c>
      <c r="O60" s="9" t="s">
        <v>32</v>
      </c>
      <c r="P60" s="16">
        <v>46197.75</v>
      </c>
      <c r="U60" s="12" t="s">
        <v>153</v>
      </c>
      <c r="V60" s="12">
        <f>SUMPRODUCT(($O$9:$O$80="I")*((($E$9:$E$80=U60)+($H$9:$H$80=U60))&gt;0)*ISNUMBER($F$9:$F$80)*ISNUMBER($G$9:$G$80))</f>
        <v>0</v>
      </c>
      <c r="W60" s="12">
        <f>SUMPRODUCT(($O$9:$O$80="I")*ISNUMBER($F$9:$F$80)*ISNUMBER($G$9:$G$80)*((($E$9:$E$80=U60)*($F$9:$F$80&gt;$G$9:$G$80))+(($H$9:$H$80=U60)*($G$9:$G$80&gt;$F$9:$F$80))))</f>
        <v>0</v>
      </c>
      <c r="X60" s="12">
        <f>SUMPRODUCT(($O$9:$O$80="I")*ISNUMBER($F$9:$F$80)*ISNUMBER($G$9:$G$80)*((($E$9:$E$80=U60)+($H$9:$H$80=U60))&gt;0)*($F$9:$F$80=$G$9:$G$80))</f>
        <v>0</v>
      </c>
      <c r="Y60" s="12">
        <f>V60-W60-X60</f>
        <v>0</v>
      </c>
      <c r="Z60" s="12">
        <f>SUMPRODUCT(($O$9:$O$80="I")*ISNUMBER($F$9:$F$80)*ISNUMBER($G$9:$G$80)*($E$9:$E$80=U60)*$F$9:$F$80)+SUMPRODUCT(($O$9:$O$80="I")*ISNUMBER($F$9:$F$80)*ISNUMBER($G$9:$G$80)*($H$9:$H$80=U60)*$G$9:$G$80)</f>
        <v>0</v>
      </c>
      <c r="AA60" s="12">
        <f>SUMPRODUCT(($O$9:$O$80="I")*ISNUMBER($F$9:$F$80)*ISNUMBER($G$9:$G$80)*($E$9:$E$80=U60)*$G$9:$G$80)+SUMPRODUCT(($O$9:$O$80="I")*ISNUMBER($F$9:$F$80)*ISNUMBER($G$9:$G$80)*($H$9:$H$80=U60)*$F$9:$F$80)</f>
        <v>0</v>
      </c>
      <c r="AB60" s="12">
        <f>Z60-AA60</f>
        <v>0</v>
      </c>
      <c r="AC60" s="12">
        <f>W60*3+X60</f>
        <v>0</v>
      </c>
      <c r="AD60" s="12">
        <f>IF(COUNTIF($AC$60:$AC$63,AC60)=1,0,SUMPRODUCT(($O$9:$O$80="I")*ISNUMBER($F$9:$F$80)*ISNUMBER($G$9:$G$80)*((($E$9:$E$80=U60)*(((($H$9:$H$80=$U$60)*($AC$60=AC60))+(($H$9:$H$80=$U$61)*($AC$61=AC60))+(($H$9:$H$80=$U$62)*($AC$62=AC60))+(($H$9:$H$80=$U$63)*($AC$63=AC60)) )&gt;0)*(($F$9:$F$80&gt;$G$9:$G$80)*3+($F$9:$F$80=$G$9:$G$80)))+(($H$9:$H$80=U60)*(((($E$9:$E$80=$U$60)*($AC$60=AC60))+(($E$9:$E$80=$U$61)*($AC$61=AC60))+(($E$9:$E$80=$U$62)*($AC$62=AC60))+(($E$9:$E$80=$U$63)*($AC$63=AC60)) )&gt;0)*(($G$9:$G$80&gt;$F$9:$F$80)*3+($F$9:$F$80=$G$9:$G$80))))))</f>
        <v>0</v>
      </c>
      <c r="AE60" s="12">
        <f>IF(COUNTIF($AC$60:$AC$63,AC60)=1,0,SUMPRODUCT(($O$9:$O$80="I")*ISNUMBER($F$9:$F$80)*ISNUMBER($G$9:$G$80)*((($E$9:$E$80=U60)*(((($H$9:$H$80=$U$60)*($AC$60=AC60))+(($H$9:$H$80=$U$61)*($AC$61=AC60))+(($H$9:$H$80=$U$62)*($AC$62=AC60))+(($H$9:$H$80=$U$63)*($AC$63=AC60)) )&gt;0)*($F$9:$F$80-$G$9:$G$80))+(($H$9:$H$80=U60)*(((($E$9:$E$80=$U$60)*($AC$60=AC60))+(($E$9:$E$80=$U$61)*($AC$61=AC60))+(($E$9:$E$80=$U$62)*($AC$62=AC60))+(($E$9:$E$80=$U$63)*($AC$63=AC60)) )&gt;0)*($G$9:$G$80-$F$9:$F$80)))))</f>
        <v>0</v>
      </c>
      <c r="AF60" s="12">
        <f>IF(COUNTIF($AC$60:$AC$63,AC60)=1,0,SUMPRODUCT(($O$9:$O$80="I")*ISNUMBER($F$9:$F$80)*ISNUMBER($G$9:$G$80)*((($E$9:$E$80=U60)*(((($H$9:$H$80=$U$60)*($AC$60=AC60))+(($H$9:$H$80=$U$61)*($AC$61=AC60))+(($H$9:$H$80=$U$62)*($AC$62=AC60))+(($H$9:$H$80=$U$63)*($AC$63=AC60)) )&gt;0)*$F$9:$F$80)+(($H$9:$H$80=U60)*(((($E$9:$E$80=$U$60)*($AC$60=AC60))+(($E$9:$E$80=$U$61)*($AC$61=AC60))+(($E$9:$E$80=$U$62)*($AC$62=AC60))+(($E$9:$E$80=$U$63)*($AC$63=AC60)) )&gt;0)*$G$9:$G$80))))</f>
        <v>0</v>
      </c>
      <c r="AG60" s="12">
        <f>1+SUMPRODUCT(--(($AC$60:$AC$63&gt;AC60)+(($AC$60:$AC$63=AC60)*($AD$60:$AD$63&gt;AD60))+(($AC$60:$AC$63=AC60)*($AD$60:$AD$63=AD60)*($AE$60:$AE$63&gt;AE60))+(($AC$60:$AC$63=AC60)*($AD$60:$AD$63=AD60)*($AE$60:$AE$63=AE60)*($AF$60:$AF$63&gt;AF60))+(($AC$60:$AC$63=AC60)*($AD$60:$AD$63=AD60)*($AE$60:$AE$63=AE60)*($AF$60:$AF$63=AF60)*($AB$60:$AB$63&gt;AB60))+(($AC$60:$AC$63=AC60)*($AD$60:$AD$63=AD60)*($AE$60:$AE$63=AE60)*($AF$60:$AF$63=AF60)*($AB$60:$AB$63=AB60)*($Z$60:$Z$63&gt;Z60))+(($AC$60:$AC$63=AC60)*($AD$60:$AD$63=AD60)*($AE$60:$AE$63=AE60)*($AF$60:$AF$63=AF60)*($AB$60:$AB$63=AB60)*($Z$60:$Z$63=Z60)*($U$60:$U$63&lt;U60))))</f>
        <v>1</v>
      </c>
      <c r="AO60" s="11" t="s">
        <v>207</v>
      </c>
      <c r="AP60" s="11" t="s">
        <v>30</v>
      </c>
      <c r="AQ60" s="11" t="s">
        <v>32</v>
      </c>
      <c r="AR60" s="11" t="s">
        <v>33</v>
      </c>
      <c r="AS60" s="11" t="s">
        <v>55</v>
      </c>
      <c r="AT60" s="11" t="s">
        <v>28</v>
      </c>
      <c r="AU60" s="11" t="s">
        <v>34</v>
      </c>
      <c r="AV60" s="11" t="s">
        <v>31</v>
      </c>
      <c r="AW60" s="11" t="s">
        <v>50</v>
      </c>
    </row>
    <row r="61" spans="1:49" x14ac:dyDescent="0.25">
      <c r="A61" s="2" t="str">
        <f t="shared" si="6"/>
        <v>miércoles</v>
      </c>
      <c r="B61" s="14">
        <f t="shared" si="7"/>
        <v>46197.791666666664</v>
      </c>
      <c r="C61" s="15">
        <f t="shared" si="8"/>
        <v>46197.791666666664</v>
      </c>
      <c r="D61" s="2" t="s">
        <v>79</v>
      </c>
      <c r="E61" s="2" t="s">
        <v>63</v>
      </c>
      <c r="F61" s="13"/>
      <c r="G61" s="13"/>
      <c r="H61" s="2" t="s">
        <v>25</v>
      </c>
      <c r="I61" s="2">
        <v>53</v>
      </c>
      <c r="J61" s="7" t="s">
        <v>83</v>
      </c>
      <c r="K61" s="23"/>
      <c r="L61" s="24"/>
      <c r="M61" s="25"/>
      <c r="N61" s="8">
        <f t="shared" si="9"/>
        <v>46197.791666666664</v>
      </c>
      <c r="O61" s="9" t="s">
        <v>28</v>
      </c>
      <c r="P61" s="16">
        <v>46197.875</v>
      </c>
      <c r="U61" s="12" t="s">
        <v>154</v>
      </c>
      <c r="V61" s="12">
        <f>SUMPRODUCT(($O$9:$O$80="I")*((($E$9:$E$80=U61)+($H$9:$H$80=U61))&gt;0)*ISNUMBER($F$9:$F$80)*ISNUMBER($G$9:$G$80))</f>
        <v>0</v>
      </c>
      <c r="W61" s="12">
        <f>SUMPRODUCT(($O$9:$O$80="I")*ISNUMBER($F$9:$F$80)*ISNUMBER($G$9:$G$80)*((($E$9:$E$80=U61)*($F$9:$F$80&gt;$G$9:$G$80))+(($H$9:$H$80=U61)*($G$9:$G$80&gt;$F$9:$F$80))))</f>
        <v>0</v>
      </c>
      <c r="X61" s="12">
        <f>SUMPRODUCT(($O$9:$O$80="I")*ISNUMBER($F$9:$F$80)*ISNUMBER($G$9:$G$80)*((($E$9:$E$80=U61)+($H$9:$H$80=U61))&gt;0)*($F$9:$F$80=$G$9:$G$80))</f>
        <v>0</v>
      </c>
      <c r="Y61" s="12">
        <f>V61-W61-X61</f>
        <v>0</v>
      </c>
      <c r="Z61" s="12">
        <f>SUMPRODUCT(($O$9:$O$80="I")*ISNUMBER($F$9:$F$80)*ISNUMBER($G$9:$G$80)*($E$9:$E$80=U61)*$F$9:$F$80)+SUMPRODUCT(($O$9:$O$80="I")*ISNUMBER($F$9:$F$80)*ISNUMBER($G$9:$G$80)*($H$9:$H$80=U61)*$G$9:$G$80)</f>
        <v>0</v>
      </c>
      <c r="AA61" s="12">
        <f>SUMPRODUCT(($O$9:$O$80="I")*ISNUMBER($F$9:$F$80)*ISNUMBER($G$9:$G$80)*($E$9:$E$80=U61)*$G$9:$G$80)+SUMPRODUCT(($O$9:$O$80="I")*ISNUMBER($F$9:$F$80)*ISNUMBER($G$9:$G$80)*($H$9:$H$80=U61)*$F$9:$F$80)</f>
        <v>0</v>
      </c>
      <c r="AB61" s="12">
        <f>Z61-AA61</f>
        <v>0</v>
      </c>
      <c r="AC61" s="12">
        <f>W61*3+X61</f>
        <v>0</v>
      </c>
      <c r="AD61" s="12">
        <f>IF(COUNTIF($AC$60:$AC$63,AC61)=1,0,SUMPRODUCT(($O$9:$O$80="I")*ISNUMBER($F$9:$F$80)*ISNUMBER($G$9:$G$80)*((($E$9:$E$80=U61)*(((($H$9:$H$80=$U$60)*($AC$60=AC61))+(($H$9:$H$80=$U$61)*($AC$61=AC61))+(($H$9:$H$80=$U$62)*($AC$62=AC61))+(($H$9:$H$80=$U$63)*($AC$63=AC61)) )&gt;0)*(($F$9:$F$80&gt;$G$9:$G$80)*3+($F$9:$F$80=$G$9:$G$80)))+(($H$9:$H$80=U61)*(((($E$9:$E$80=$U$60)*($AC$60=AC61))+(($E$9:$E$80=$U$61)*($AC$61=AC61))+(($E$9:$E$80=$U$62)*($AC$62=AC61))+(($E$9:$E$80=$U$63)*($AC$63=AC61)) )&gt;0)*(($G$9:$G$80&gt;$F$9:$F$80)*3+($F$9:$F$80=$G$9:$G$80))))))</f>
        <v>0</v>
      </c>
      <c r="AE61" s="12">
        <f>IF(COUNTIF($AC$60:$AC$63,AC61)=1,0,SUMPRODUCT(($O$9:$O$80="I")*ISNUMBER($F$9:$F$80)*ISNUMBER($G$9:$G$80)*((($E$9:$E$80=U61)*(((($H$9:$H$80=$U$60)*($AC$60=AC61))+(($H$9:$H$80=$U$61)*($AC$61=AC61))+(($H$9:$H$80=$U$62)*($AC$62=AC61))+(($H$9:$H$80=$U$63)*($AC$63=AC61)) )&gt;0)*($F$9:$F$80-$G$9:$G$80))+(($H$9:$H$80=U61)*(((($E$9:$E$80=$U$60)*($AC$60=AC61))+(($E$9:$E$80=$U$61)*($AC$61=AC61))+(($E$9:$E$80=$U$62)*($AC$62=AC61))+(($E$9:$E$80=$U$63)*($AC$63=AC61)) )&gt;0)*($G$9:$G$80-$F$9:$F$80)))))</f>
        <v>0</v>
      </c>
      <c r="AF61" s="12">
        <f>IF(COUNTIF($AC$60:$AC$63,AC61)=1,0,SUMPRODUCT(($O$9:$O$80="I")*ISNUMBER($F$9:$F$80)*ISNUMBER($G$9:$G$80)*((($E$9:$E$80=U61)*(((($H$9:$H$80=$U$60)*($AC$60=AC61))+(($H$9:$H$80=$U$61)*($AC$61=AC61))+(($H$9:$H$80=$U$62)*($AC$62=AC61))+(($H$9:$H$80=$U$63)*($AC$63=AC61)) )&gt;0)*$F$9:$F$80)+(($H$9:$H$80=U61)*(((($E$9:$E$80=$U$60)*($AC$60=AC61))+(($E$9:$E$80=$U$61)*($AC$61=AC61))+(($E$9:$E$80=$U$62)*($AC$62=AC61))+(($E$9:$E$80=$U$63)*($AC$63=AC61)) )&gt;0)*$G$9:$G$80))))</f>
        <v>0</v>
      </c>
      <c r="AG61" s="12">
        <f>1+SUMPRODUCT(--(($AC$60:$AC$63&gt;AC61)+(($AC$60:$AC$63=AC61)*($AD$60:$AD$63&gt;AD61))+(($AC$60:$AC$63=AC61)*($AD$60:$AD$63=AD61)*($AE$60:$AE$63&gt;AE61))+(($AC$60:$AC$63=AC61)*($AD$60:$AD$63=AD61)*($AE$60:$AE$63=AE61)*($AF$60:$AF$63&gt;AF61))+(($AC$60:$AC$63=AC61)*($AD$60:$AD$63=AD61)*($AE$60:$AE$63=AE61)*($AF$60:$AF$63=AF61)*($AB$60:$AB$63&gt;AB61))+(($AC$60:$AC$63=AC61)*($AD$60:$AD$63=AD61)*($AE$60:$AE$63=AE61)*($AF$60:$AF$63=AF61)*($AB$60:$AB$63=AB61)*($Z$60:$Z$63&gt;Z61))+(($AC$60:$AC$63=AC61)*($AD$60:$AD$63=AD61)*($AE$60:$AE$63=AE61)*($AF$60:$AF$63=AF61)*($AB$60:$AB$63=AB61)*($Z$60:$Z$63=Z61)*($U$60:$U$63&lt;U61))))</f>
        <v>4</v>
      </c>
      <c r="AO61" s="11" t="s">
        <v>208</v>
      </c>
      <c r="AP61" s="11" t="s">
        <v>30</v>
      </c>
      <c r="AQ61" s="11" t="s">
        <v>31</v>
      </c>
      <c r="AR61" s="11" t="s">
        <v>32</v>
      </c>
      <c r="AS61" s="11" t="s">
        <v>33</v>
      </c>
      <c r="AT61" s="11" t="s">
        <v>28</v>
      </c>
      <c r="AU61" s="11" t="s">
        <v>34</v>
      </c>
      <c r="AV61" s="11" t="s">
        <v>50</v>
      </c>
      <c r="AW61" s="11" t="s">
        <v>60</v>
      </c>
    </row>
    <row r="62" spans="1:49" x14ac:dyDescent="0.25">
      <c r="A62" s="2" t="str">
        <f t="shared" si="6"/>
        <v>miércoles</v>
      </c>
      <c r="B62" s="14">
        <f t="shared" si="7"/>
        <v>46197.791666666664</v>
      </c>
      <c r="C62" s="15">
        <f t="shared" si="8"/>
        <v>46197.791666666664</v>
      </c>
      <c r="D62" s="2" t="s">
        <v>79</v>
      </c>
      <c r="E62" s="2" t="s">
        <v>53</v>
      </c>
      <c r="F62" s="13"/>
      <c r="G62" s="13"/>
      <c r="H62" s="2" t="s">
        <v>58</v>
      </c>
      <c r="I62" s="2">
        <v>54</v>
      </c>
      <c r="J62" s="7" t="s">
        <v>130</v>
      </c>
      <c r="K62" s="23"/>
      <c r="L62" s="24"/>
      <c r="M62" s="25"/>
      <c r="N62" s="8">
        <f t="shared" si="9"/>
        <v>46197.791666666664</v>
      </c>
      <c r="O62" s="9" t="s">
        <v>28</v>
      </c>
      <c r="P62" s="16">
        <v>46197.875</v>
      </c>
      <c r="U62" s="12" t="s">
        <v>156</v>
      </c>
      <c r="V62" s="12">
        <f>SUMPRODUCT(($O$9:$O$80="I")*((($E$9:$E$80=U62)+($H$9:$H$80=U62))&gt;0)*ISNUMBER($F$9:$F$80)*ISNUMBER($G$9:$G$80))</f>
        <v>0</v>
      </c>
      <c r="W62" s="12">
        <f>SUMPRODUCT(($O$9:$O$80="I")*ISNUMBER($F$9:$F$80)*ISNUMBER($G$9:$G$80)*((($E$9:$E$80=U62)*($F$9:$F$80&gt;$G$9:$G$80))+(($H$9:$H$80=U62)*($G$9:$G$80&gt;$F$9:$F$80))))</f>
        <v>0</v>
      </c>
      <c r="X62" s="12">
        <f>SUMPRODUCT(($O$9:$O$80="I")*ISNUMBER($F$9:$F$80)*ISNUMBER($G$9:$G$80)*((($E$9:$E$80=U62)+($H$9:$H$80=U62))&gt;0)*($F$9:$F$80=$G$9:$G$80))</f>
        <v>0</v>
      </c>
      <c r="Y62" s="12">
        <f>V62-W62-X62</f>
        <v>0</v>
      </c>
      <c r="Z62" s="12">
        <f>SUMPRODUCT(($O$9:$O$80="I")*ISNUMBER($F$9:$F$80)*ISNUMBER($G$9:$G$80)*($E$9:$E$80=U62)*$F$9:$F$80)+SUMPRODUCT(($O$9:$O$80="I")*ISNUMBER($F$9:$F$80)*ISNUMBER($G$9:$G$80)*($H$9:$H$80=U62)*$G$9:$G$80)</f>
        <v>0</v>
      </c>
      <c r="AA62" s="12">
        <f>SUMPRODUCT(($O$9:$O$80="I")*ISNUMBER($F$9:$F$80)*ISNUMBER($G$9:$G$80)*($E$9:$E$80=U62)*$G$9:$G$80)+SUMPRODUCT(($O$9:$O$80="I")*ISNUMBER($F$9:$F$80)*ISNUMBER($G$9:$G$80)*($H$9:$H$80=U62)*$F$9:$F$80)</f>
        <v>0</v>
      </c>
      <c r="AB62" s="12">
        <f>Z62-AA62</f>
        <v>0</v>
      </c>
      <c r="AC62" s="12">
        <f>W62*3+X62</f>
        <v>0</v>
      </c>
      <c r="AD62" s="12">
        <f>IF(COUNTIF($AC$60:$AC$63,AC62)=1,0,SUMPRODUCT(($O$9:$O$80="I")*ISNUMBER($F$9:$F$80)*ISNUMBER($G$9:$G$80)*((($E$9:$E$80=U62)*(((($H$9:$H$80=$U$60)*($AC$60=AC62))+(($H$9:$H$80=$U$61)*($AC$61=AC62))+(($H$9:$H$80=$U$62)*($AC$62=AC62))+(($H$9:$H$80=$U$63)*($AC$63=AC62)) )&gt;0)*(($F$9:$F$80&gt;$G$9:$G$80)*3+($F$9:$F$80=$G$9:$G$80)))+(($H$9:$H$80=U62)*(((($E$9:$E$80=$U$60)*($AC$60=AC62))+(($E$9:$E$80=$U$61)*($AC$61=AC62))+(($E$9:$E$80=$U$62)*($AC$62=AC62))+(($E$9:$E$80=$U$63)*($AC$63=AC62)) )&gt;0)*(($G$9:$G$80&gt;$F$9:$F$80)*3+($F$9:$F$80=$G$9:$G$80))))))</f>
        <v>0</v>
      </c>
      <c r="AE62" s="12">
        <f>IF(COUNTIF($AC$60:$AC$63,AC62)=1,0,SUMPRODUCT(($O$9:$O$80="I")*ISNUMBER($F$9:$F$80)*ISNUMBER($G$9:$G$80)*((($E$9:$E$80=U62)*(((($H$9:$H$80=$U$60)*($AC$60=AC62))+(($H$9:$H$80=$U$61)*($AC$61=AC62))+(($H$9:$H$80=$U$62)*($AC$62=AC62))+(($H$9:$H$80=$U$63)*($AC$63=AC62)) )&gt;0)*($F$9:$F$80-$G$9:$G$80))+(($H$9:$H$80=U62)*(((($E$9:$E$80=$U$60)*($AC$60=AC62))+(($E$9:$E$80=$U$61)*($AC$61=AC62))+(($E$9:$E$80=$U$62)*($AC$62=AC62))+(($E$9:$E$80=$U$63)*($AC$63=AC62)) )&gt;0)*($G$9:$G$80-$F$9:$F$80)))))</f>
        <v>0</v>
      </c>
      <c r="AF62" s="12">
        <f>IF(COUNTIF($AC$60:$AC$63,AC62)=1,0,SUMPRODUCT(($O$9:$O$80="I")*ISNUMBER($F$9:$F$80)*ISNUMBER($G$9:$G$80)*((($E$9:$E$80=U62)*(((($H$9:$H$80=$U$60)*($AC$60=AC62))+(($H$9:$H$80=$U$61)*($AC$61=AC62))+(($H$9:$H$80=$U$62)*($AC$62=AC62))+(($H$9:$H$80=$U$63)*($AC$63=AC62)) )&gt;0)*$F$9:$F$80)+(($H$9:$H$80=U62)*(((($E$9:$E$80=$U$60)*($AC$60=AC62))+(($E$9:$E$80=$U$61)*($AC$61=AC62))+(($E$9:$E$80=$U$62)*($AC$62=AC62))+(($E$9:$E$80=$U$63)*($AC$63=AC62)) )&gt;0)*$G$9:$G$80))))</f>
        <v>0</v>
      </c>
      <c r="AG62" s="12">
        <f>1+SUMPRODUCT(--(($AC$60:$AC$63&gt;AC62)+(($AC$60:$AC$63=AC62)*($AD$60:$AD$63&gt;AD62))+(($AC$60:$AC$63=AC62)*($AD$60:$AD$63=AD62)*($AE$60:$AE$63&gt;AE62))+(($AC$60:$AC$63=AC62)*($AD$60:$AD$63=AD62)*($AE$60:$AE$63=AE62)*($AF$60:$AF$63&gt;AF62))+(($AC$60:$AC$63=AC62)*($AD$60:$AD$63=AD62)*($AE$60:$AE$63=AE62)*($AF$60:$AF$63=AF62)*($AB$60:$AB$63&gt;AB62))+(($AC$60:$AC$63=AC62)*($AD$60:$AD$63=AD62)*($AE$60:$AE$63=AE62)*($AF$60:$AF$63=AF62)*($AB$60:$AB$63=AB62)*($Z$60:$Z$63&gt;Z62))+(($AC$60:$AC$63=AC62)*($AD$60:$AD$63=AD62)*($AE$60:$AE$63=AE62)*($AF$60:$AF$63=AF62)*($AB$60:$AB$63=AB62)*($Z$60:$Z$63=Z62)*($U$60:$U$63&lt;U62))))</f>
        <v>2</v>
      </c>
      <c r="AO62" s="11" t="s">
        <v>209</v>
      </c>
      <c r="AP62" s="11" t="s">
        <v>30</v>
      </c>
      <c r="AQ62" s="11" t="s">
        <v>32</v>
      </c>
      <c r="AR62" s="11" t="s">
        <v>33</v>
      </c>
      <c r="AS62" s="11" t="s">
        <v>55</v>
      </c>
      <c r="AT62" s="11" t="s">
        <v>28</v>
      </c>
      <c r="AU62" s="11" t="s">
        <v>34</v>
      </c>
      <c r="AV62" s="11" t="s">
        <v>31</v>
      </c>
      <c r="AW62" s="11" t="s">
        <v>60</v>
      </c>
    </row>
    <row r="63" spans="1:49" x14ac:dyDescent="0.25">
      <c r="A63" s="2" t="str">
        <f t="shared" si="6"/>
        <v>jueves</v>
      </c>
      <c r="B63" s="14">
        <f t="shared" si="7"/>
        <v>46198.583333333321</v>
      </c>
      <c r="C63" s="15">
        <f t="shared" si="8"/>
        <v>46198.583333333321</v>
      </c>
      <c r="D63" s="2" t="s">
        <v>115</v>
      </c>
      <c r="E63" s="2" t="s">
        <v>118</v>
      </c>
      <c r="F63" s="13"/>
      <c r="G63" s="13"/>
      <c r="H63" s="2" t="s">
        <v>125</v>
      </c>
      <c r="I63" s="2">
        <v>55</v>
      </c>
      <c r="J63" s="7" t="s">
        <v>126</v>
      </c>
      <c r="K63" s="23"/>
      <c r="L63" s="24"/>
      <c r="M63" s="25"/>
      <c r="N63" s="8">
        <f t="shared" si="9"/>
        <v>46198.583333333321</v>
      </c>
      <c r="O63" s="9" t="s">
        <v>36</v>
      </c>
      <c r="P63" s="16">
        <v>46198.666666666657</v>
      </c>
      <c r="U63" s="12" t="s">
        <v>157</v>
      </c>
      <c r="V63" s="12">
        <f>SUMPRODUCT(($O$9:$O$80="I")*((($E$9:$E$80=U63)+($H$9:$H$80=U63))&gt;0)*ISNUMBER($F$9:$F$80)*ISNUMBER($G$9:$G$80))</f>
        <v>0</v>
      </c>
      <c r="W63" s="12">
        <f>SUMPRODUCT(($O$9:$O$80="I")*ISNUMBER($F$9:$F$80)*ISNUMBER($G$9:$G$80)*((($E$9:$E$80=U63)*($F$9:$F$80&gt;$G$9:$G$80))+(($H$9:$H$80=U63)*($G$9:$G$80&gt;$F$9:$F$80))))</f>
        <v>0</v>
      </c>
      <c r="X63" s="12">
        <f>SUMPRODUCT(($O$9:$O$80="I")*ISNUMBER($F$9:$F$80)*ISNUMBER($G$9:$G$80)*((($E$9:$E$80=U63)+($H$9:$H$80=U63))&gt;0)*($F$9:$F$80=$G$9:$G$80))</f>
        <v>0</v>
      </c>
      <c r="Y63" s="12">
        <f>V63-W63-X63</f>
        <v>0</v>
      </c>
      <c r="Z63" s="12">
        <f>SUMPRODUCT(($O$9:$O$80="I")*ISNUMBER($F$9:$F$80)*ISNUMBER($G$9:$G$80)*($E$9:$E$80=U63)*$F$9:$F$80)+SUMPRODUCT(($O$9:$O$80="I")*ISNUMBER($F$9:$F$80)*ISNUMBER($G$9:$G$80)*($H$9:$H$80=U63)*$G$9:$G$80)</f>
        <v>0</v>
      </c>
      <c r="AA63" s="12">
        <f>SUMPRODUCT(($O$9:$O$80="I")*ISNUMBER($F$9:$F$80)*ISNUMBER($G$9:$G$80)*($E$9:$E$80=U63)*$G$9:$G$80)+SUMPRODUCT(($O$9:$O$80="I")*ISNUMBER($F$9:$F$80)*ISNUMBER($G$9:$G$80)*($H$9:$H$80=U63)*$F$9:$F$80)</f>
        <v>0</v>
      </c>
      <c r="AB63" s="12">
        <f>Z63-AA63</f>
        <v>0</v>
      </c>
      <c r="AC63" s="12">
        <f>W63*3+X63</f>
        <v>0</v>
      </c>
      <c r="AD63" s="12">
        <f>IF(COUNTIF($AC$60:$AC$63,AC63)=1,0,SUMPRODUCT(($O$9:$O$80="I")*ISNUMBER($F$9:$F$80)*ISNUMBER($G$9:$G$80)*((($E$9:$E$80=U63)*(((($H$9:$H$80=$U$60)*($AC$60=AC63))+(($H$9:$H$80=$U$61)*($AC$61=AC63))+(($H$9:$H$80=$U$62)*($AC$62=AC63))+(($H$9:$H$80=$U$63)*($AC$63=AC63)) )&gt;0)*(($F$9:$F$80&gt;$G$9:$G$80)*3+($F$9:$F$80=$G$9:$G$80)))+(($H$9:$H$80=U63)*(((($E$9:$E$80=$U$60)*($AC$60=AC63))+(($E$9:$E$80=$U$61)*($AC$61=AC63))+(($E$9:$E$80=$U$62)*($AC$62=AC63))+(($E$9:$E$80=$U$63)*($AC$63=AC63)) )&gt;0)*(($G$9:$G$80&gt;$F$9:$F$80)*3+($F$9:$F$80=$G$9:$G$80))))))</f>
        <v>0</v>
      </c>
      <c r="AE63" s="12">
        <f>IF(COUNTIF($AC$60:$AC$63,AC63)=1,0,SUMPRODUCT(($O$9:$O$80="I")*ISNUMBER($F$9:$F$80)*ISNUMBER($G$9:$G$80)*((($E$9:$E$80=U63)*(((($H$9:$H$80=$U$60)*($AC$60=AC63))+(($H$9:$H$80=$U$61)*($AC$61=AC63))+(($H$9:$H$80=$U$62)*($AC$62=AC63))+(($H$9:$H$80=$U$63)*($AC$63=AC63)) )&gt;0)*($F$9:$F$80-$G$9:$G$80))+(($H$9:$H$80=U63)*(((($E$9:$E$80=$U$60)*($AC$60=AC63))+(($E$9:$E$80=$U$61)*($AC$61=AC63))+(($E$9:$E$80=$U$62)*($AC$62=AC63))+(($E$9:$E$80=$U$63)*($AC$63=AC63)) )&gt;0)*($G$9:$G$80-$F$9:$F$80)))))</f>
        <v>0</v>
      </c>
      <c r="AF63" s="12">
        <f>IF(COUNTIF($AC$60:$AC$63,AC63)=1,0,SUMPRODUCT(($O$9:$O$80="I")*ISNUMBER($F$9:$F$80)*ISNUMBER($G$9:$G$80)*((($E$9:$E$80=U63)*(((($H$9:$H$80=$U$60)*($AC$60=AC63))+(($H$9:$H$80=$U$61)*($AC$61=AC63))+(($H$9:$H$80=$U$62)*($AC$62=AC63))+(($H$9:$H$80=$U$63)*($AC$63=AC63)) )&gt;0)*$F$9:$F$80)+(($H$9:$H$80=U63)*(((($E$9:$E$80=$U$60)*($AC$60=AC63))+(($E$9:$E$80=$U$61)*($AC$61=AC63))+(($E$9:$E$80=$U$62)*($AC$62=AC63))+(($E$9:$E$80=$U$63)*($AC$63=AC63)) )&gt;0)*$G$9:$G$80))))</f>
        <v>0</v>
      </c>
      <c r="AG63" s="12">
        <f>1+SUMPRODUCT(--(($AC$60:$AC$63&gt;AC63)+(($AC$60:$AC$63=AC63)*($AD$60:$AD$63&gt;AD63))+(($AC$60:$AC$63=AC63)*($AD$60:$AD$63=AD63)*($AE$60:$AE$63&gt;AE63))+(($AC$60:$AC$63=AC63)*($AD$60:$AD$63=AD63)*($AE$60:$AE$63=AE63)*($AF$60:$AF$63&gt;AF63))+(($AC$60:$AC$63=AC63)*($AD$60:$AD$63=AD63)*($AE$60:$AE$63=AE63)*($AF$60:$AF$63=AF63)*($AB$60:$AB$63&gt;AB63))+(($AC$60:$AC$63=AC63)*($AD$60:$AD$63=AD63)*($AE$60:$AE$63=AE63)*($AF$60:$AF$63=AF63)*($AB$60:$AB$63=AB63)*($Z$60:$Z$63&gt;Z63))+(($AC$60:$AC$63=AC63)*($AD$60:$AD$63=AD63)*($AE$60:$AE$63=AE63)*($AF$60:$AF$63=AF63)*($AB$60:$AB$63=AB63)*($Z$60:$Z$63=Z63)*($U$60:$U$63&lt;U63))))</f>
        <v>3</v>
      </c>
      <c r="AO63" s="11" t="s">
        <v>210</v>
      </c>
      <c r="AP63" s="11" t="s">
        <v>30</v>
      </c>
      <c r="AQ63" s="11" t="s">
        <v>31</v>
      </c>
      <c r="AR63" s="11" t="s">
        <v>32</v>
      </c>
      <c r="AS63" s="11" t="s">
        <v>55</v>
      </c>
      <c r="AT63" s="11" t="s">
        <v>28</v>
      </c>
      <c r="AU63" s="11" t="s">
        <v>34</v>
      </c>
      <c r="AV63" s="11" t="s">
        <v>50</v>
      </c>
      <c r="AW63" s="11" t="s">
        <v>46</v>
      </c>
    </row>
    <row r="64" spans="1:49" x14ac:dyDescent="0.25">
      <c r="A64" s="2" t="str">
        <f t="shared" si="6"/>
        <v>jueves</v>
      </c>
      <c r="B64" s="14">
        <f t="shared" si="7"/>
        <v>46198.583333333321</v>
      </c>
      <c r="C64" s="15">
        <f t="shared" si="8"/>
        <v>46198.583333333321</v>
      </c>
      <c r="D64" s="2" t="s">
        <v>115</v>
      </c>
      <c r="E64" s="2" t="s">
        <v>76</v>
      </c>
      <c r="F64" s="13"/>
      <c r="G64" s="13"/>
      <c r="H64" s="2" t="s">
        <v>117</v>
      </c>
      <c r="I64" s="2">
        <v>56</v>
      </c>
      <c r="J64" s="7" t="s">
        <v>105</v>
      </c>
      <c r="K64" s="23"/>
      <c r="L64" s="24"/>
      <c r="M64" s="25"/>
      <c r="N64" s="8">
        <f t="shared" si="9"/>
        <v>46198.583333333321</v>
      </c>
      <c r="O64" s="9" t="s">
        <v>36</v>
      </c>
      <c r="P64" s="16">
        <v>46198.666666666657</v>
      </c>
      <c r="AO64" s="11" t="s">
        <v>211</v>
      </c>
      <c r="AP64" s="11" t="s">
        <v>30</v>
      </c>
      <c r="AQ64" s="11" t="s">
        <v>31</v>
      </c>
      <c r="AR64" s="11" t="s">
        <v>32</v>
      </c>
      <c r="AS64" s="11" t="s">
        <v>46</v>
      </c>
      <c r="AT64" s="11" t="s">
        <v>28</v>
      </c>
      <c r="AU64" s="11" t="s">
        <v>34</v>
      </c>
      <c r="AV64" s="11" t="s">
        <v>50</v>
      </c>
      <c r="AW64" s="11" t="s">
        <v>60</v>
      </c>
    </row>
    <row r="65" spans="1:49" x14ac:dyDescent="0.25">
      <c r="A65" s="2" t="str">
        <f t="shared" si="6"/>
        <v>jueves</v>
      </c>
      <c r="B65" s="14">
        <f t="shared" si="7"/>
        <v>46198.708333333321</v>
      </c>
      <c r="C65" s="15">
        <f t="shared" si="8"/>
        <v>46198.708333333321</v>
      </c>
      <c r="D65" s="2" t="s">
        <v>116</v>
      </c>
      <c r="E65" s="2" t="s">
        <v>122</v>
      </c>
      <c r="F65" s="13"/>
      <c r="G65" s="13"/>
      <c r="H65" s="2" t="s">
        <v>128</v>
      </c>
      <c r="I65" s="2">
        <v>57</v>
      </c>
      <c r="J65" s="7" t="s">
        <v>123</v>
      </c>
      <c r="K65" s="23"/>
      <c r="L65" s="24"/>
      <c r="M65" s="25"/>
      <c r="N65" s="8">
        <f t="shared" si="9"/>
        <v>46198.708333333321</v>
      </c>
      <c r="O65" s="9" t="s">
        <v>35</v>
      </c>
      <c r="P65" s="16">
        <v>46198.791666666657</v>
      </c>
      <c r="AO65" s="11" t="s">
        <v>212</v>
      </c>
      <c r="AP65" s="11" t="s">
        <v>30</v>
      </c>
      <c r="AQ65" s="11" t="s">
        <v>31</v>
      </c>
      <c r="AR65" s="11" t="s">
        <v>32</v>
      </c>
      <c r="AS65" s="11" t="s">
        <v>55</v>
      </c>
      <c r="AT65" s="11" t="s">
        <v>28</v>
      </c>
      <c r="AU65" s="11" t="s">
        <v>34</v>
      </c>
      <c r="AV65" s="11" t="s">
        <v>46</v>
      </c>
      <c r="AW65" s="11" t="s">
        <v>60</v>
      </c>
    </row>
    <row r="66" spans="1:49" x14ac:dyDescent="0.25">
      <c r="A66" s="2" t="str">
        <f t="shared" si="6"/>
        <v>jueves</v>
      </c>
      <c r="B66" s="14">
        <f t="shared" si="7"/>
        <v>46198.708333333321</v>
      </c>
      <c r="C66" s="15">
        <f t="shared" si="8"/>
        <v>46198.708333333321</v>
      </c>
      <c r="D66" s="2" t="s">
        <v>116</v>
      </c>
      <c r="E66" s="2" t="s">
        <v>129</v>
      </c>
      <c r="F66" s="13"/>
      <c r="G66" s="13"/>
      <c r="H66" s="2" t="s">
        <v>121</v>
      </c>
      <c r="I66" s="2">
        <v>58</v>
      </c>
      <c r="J66" s="7" t="s">
        <v>161</v>
      </c>
      <c r="K66" s="23"/>
      <c r="L66" s="24"/>
      <c r="M66" s="25"/>
      <c r="N66" s="8">
        <f t="shared" si="9"/>
        <v>46198.708333333321</v>
      </c>
      <c r="O66" s="9" t="s">
        <v>35</v>
      </c>
      <c r="P66" s="16">
        <v>46198.791666666657</v>
      </c>
      <c r="U66" s="12" t="s">
        <v>4</v>
      </c>
      <c r="V66" s="12" t="s">
        <v>39</v>
      </c>
      <c r="W66" s="12" t="s">
        <v>31</v>
      </c>
      <c r="X66" s="12" t="s">
        <v>36</v>
      </c>
      <c r="Y66" s="12" t="s">
        <v>40</v>
      </c>
      <c r="Z66" s="12" t="s">
        <v>7</v>
      </c>
      <c r="AA66" s="12" t="s">
        <v>41</v>
      </c>
      <c r="AB66" s="12" t="s">
        <v>6</v>
      </c>
      <c r="AC66" s="12" t="s">
        <v>5</v>
      </c>
      <c r="AD66" s="12" t="s">
        <v>42</v>
      </c>
      <c r="AE66" s="12" t="s">
        <v>43</v>
      </c>
      <c r="AF66" s="12" t="s">
        <v>44</v>
      </c>
      <c r="AG66" s="12" t="s">
        <v>8</v>
      </c>
      <c r="AO66" s="11" t="s">
        <v>213</v>
      </c>
      <c r="AP66" s="11" t="s">
        <v>30</v>
      </c>
      <c r="AQ66" s="11" t="s">
        <v>31</v>
      </c>
      <c r="AR66" s="11" t="s">
        <v>32</v>
      </c>
      <c r="AS66" s="11" t="s">
        <v>55</v>
      </c>
      <c r="AT66" s="11" t="s">
        <v>28</v>
      </c>
      <c r="AU66" s="11" t="s">
        <v>34</v>
      </c>
      <c r="AV66" s="11" t="s">
        <v>50</v>
      </c>
      <c r="AW66" s="11" t="s">
        <v>60</v>
      </c>
    </row>
    <row r="67" spans="1:49" x14ac:dyDescent="0.25">
      <c r="A67" s="2" t="str">
        <f t="shared" si="6"/>
        <v>jueves</v>
      </c>
      <c r="B67" s="14">
        <f t="shared" si="7"/>
        <v>46198.833333333321</v>
      </c>
      <c r="C67" s="15">
        <f t="shared" si="8"/>
        <v>46198.833333333321</v>
      </c>
      <c r="D67" s="2" t="s">
        <v>94</v>
      </c>
      <c r="E67" s="2" t="s">
        <v>112</v>
      </c>
      <c r="F67" s="13"/>
      <c r="G67" s="13"/>
      <c r="H67" s="2" t="s">
        <v>95</v>
      </c>
      <c r="I67" s="2">
        <v>59</v>
      </c>
      <c r="J67" s="7" t="s">
        <v>97</v>
      </c>
      <c r="K67" s="23"/>
      <c r="L67" s="24"/>
      <c r="M67" s="25"/>
      <c r="N67" s="8">
        <f t="shared" si="9"/>
        <v>46198.833333333321</v>
      </c>
      <c r="O67" s="9" t="s">
        <v>30</v>
      </c>
      <c r="P67" s="16">
        <v>46198.916666666657</v>
      </c>
      <c r="U67" s="12" t="s">
        <v>62</v>
      </c>
      <c r="V67" s="12">
        <f>SUMPRODUCT(($O$9:$O$80="J")*((($E$9:$E$80=U67)+($H$9:$H$80=U67))&gt;0)*ISNUMBER($F$9:$F$80)*ISNUMBER($G$9:$G$80))</f>
        <v>0</v>
      </c>
      <c r="W67" s="12">
        <f>SUMPRODUCT(($O$9:$O$80="J")*ISNUMBER($F$9:$F$80)*ISNUMBER($G$9:$G$80)*((($E$9:$E$80=U67)*($F$9:$F$80&gt;$G$9:$G$80))+(($H$9:$H$80=U67)*($G$9:$G$80&gt;$F$9:$F$80))))</f>
        <v>0</v>
      </c>
      <c r="X67" s="12">
        <f>SUMPRODUCT(($O$9:$O$80="J")*ISNUMBER($F$9:$F$80)*ISNUMBER($G$9:$G$80)*((($E$9:$E$80=U67)+($H$9:$H$80=U67))&gt;0)*($F$9:$F$80=$G$9:$G$80))</f>
        <v>0</v>
      </c>
      <c r="Y67" s="12">
        <f>V67-W67-X67</f>
        <v>0</v>
      </c>
      <c r="Z67" s="12">
        <f>SUMPRODUCT(($O$9:$O$80="J")*ISNUMBER($F$9:$F$80)*ISNUMBER($G$9:$G$80)*($E$9:$E$80=U67)*$F$9:$F$80)+SUMPRODUCT(($O$9:$O$80="J")*ISNUMBER($F$9:$F$80)*ISNUMBER($G$9:$G$80)*($H$9:$H$80=U67)*$G$9:$G$80)</f>
        <v>0</v>
      </c>
      <c r="AA67" s="12">
        <f>SUMPRODUCT(($O$9:$O$80="J")*ISNUMBER($F$9:$F$80)*ISNUMBER($G$9:$G$80)*($E$9:$E$80=U67)*$G$9:$G$80)+SUMPRODUCT(($O$9:$O$80="J")*ISNUMBER($F$9:$F$80)*ISNUMBER($G$9:$G$80)*($H$9:$H$80=U67)*$F$9:$F$80)</f>
        <v>0</v>
      </c>
      <c r="AB67" s="12">
        <f>Z67-AA67</f>
        <v>0</v>
      </c>
      <c r="AC67" s="12">
        <f>W67*3+X67</f>
        <v>0</v>
      </c>
      <c r="AD67" s="12">
        <f>IF(COUNTIF($AC$67:$AC$70,AC67)=1,0,SUMPRODUCT(($O$9:$O$80="J")*ISNUMBER($F$9:$F$80)*ISNUMBER($G$9:$G$80)*((($E$9:$E$80=U67)*(((($H$9:$H$80=$U$67)*($AC$67=AC67))+(($H$9:$H$80=$U$68)*($AC$68=AC67))+(($H$9:$H$80=$U$69)*($AC$69=AC67))+(($H$9:$H$80=$U$70)*($AC$70=AC67)) )&gt;0)*(($F$9:$F$80&gt;$G$9:$G$80)*3+($F$9:$F$80=$G$9:$G$80)))+(($H$9:$H$80=U67)*(((($E$9:$E$80=$U$67)*($AC$67=AC67))+(($E$9:$E$80=$U$68)*($AC$68=AC67))+(($E$9:$E$80=$U$69)*($AC$69=AC67))+(($E$9:$E$80=$U$70)*($AC$70=AC67)) )&gt;0)*(($G$9:$G$80&gt;$F$9:$F$80)*3+($F$9:$F$80=$G$9:$G$80))))))</f>
        <v>0</v>
      </c>
      <c r="AE67" s="12">
        <f>IF(COUNTIF($AC$67:$AC$70,AC67)=1,0,SUMPRODUCT(($O$9:$O$80="J")*ISNUMBER($F$9:$F$80)*ISNUMBER($G$9:$G$80)*((($E$9:$E$80=U67)*(((($H$9:$H$80=$U$67)*($AC$67=AC67))+(($H$9:$H$80=$U$68)*($AC$68=AC67))+(($H$9:$H$80=$U$69)*($AC$69=AC67))+(($H$9:$H$80=$U$70)*($AC$70=AC67)) )&gt;0)*($F$9:$F$80-$G$9:$G$80))+(($H$9:$H$80=U67)*(((($E$9:$E$80=$U$67)*($AC$67=AC67))+(($E$9:$E$80=$U$68)*($AC$68=AC67))+(($E$9:$E$80=$U$69)*($AC$69=AC67))+(($E$9:$E$80=$U$70)*($AC$70=AC67)) )&gt;0)*($G$9:$G$80-$F$9:$F$80)))))</f>
        <v>0</v>
      </c>
      <c r="AF67" s="12">
        <f>IF(COUNTIF($AC$67:$AC$70,AC67)=1,0,SUMPRODUCT(($O$9:$O$80="J")*ISNUMBER($F$9:$F$80)*ISNUMBER($G$9:$G$80)*((($E$9:$E$80=U67)*(((($H$9:$H$80=$U$67)*($AC$67=AC67))+(($H$9:$H$80=$U$68)*($AC$68=AC67))+(($H$9:$H$80=$U$69)*($AC$69=AC67))+(($H$9:$H$80=$U$70)*($AC$70=AC67)) )&gt;0)*$F$9:$F$80)+(($H$9:$H$80=U67)*(((($E$9:$E$80=$U$67)*($AC$67=AC67))+(($E$9:$E$80=$U$68)*($AC$68=AC67))+(($E$9:$E$80=$U$69)*($AC$69=AC67))+(($E$9:$E$80=$U$70)*($AC$70=AC67)) )&gt;0)*$G$9:$G$80))))</f>
        <v>0</v>
      </c>
      <c r="AG67" s="12">
        <f>1+SUMPRODUCT(--(($AC$67:$AC$70&gt;AC67)+(($AC$67:$AC$70=AC67)*($AD$67:$AD$70&gt;AD67))+(($AC$67:$AC$70=AC67)*($AD$67:$AD$70=AD67)*($AE$67:$AE$70&gt;AE67))+(($AC$67:$AC$70=AC67)*($AD$67:$AD$70=AD67)*($AE$67:$AE$70=AE67)*($AF$67:$AF$70&gt;AF67))+(($AC$67:$AC$70=AC67)*($AD$67:$AD$70=AD67)*($AE$67:$AE$70=AE67)*($AF$67:$AF$70=AF67)*($AB$67:$AB$70&gt;AB67))+(($AC$67:$AC$70=AC67)*($AD$67:$AD$70=AD67)*($AE$67:$AE$70=AE67)*($AF$67:$AF$70=AF67)*($AB$67:$AB$70=AB67)*($Z$67:$Z$70&gt;Z67))+(($AC$67:$AC$70=AC67)*($AD$67:$AD$70=AD67)*($AE$67:$AE$70=AE67)*($AF$67:$AF$70=AF67)*($AB$67:$AB$70=AB67)*($Z$67:$Z$70=Z67)*($U$67:$U$70&lt;U67))))</f>
        <v>2</v>
      </c>
      <c r="AO67" s="11" t="s">
        <v>214</v>
      </c>
      <c r="AP67" s="11" t="s">
        <v>30</v>
      </c>
      <c r="AQ67" s="11" t="s">
        <v>32</v>
      </c>
      <c r="AR67" s="11" t="s">
        <v>33</v>
      </c>
      <c r="AS67" s="11" t="s">
        <v>55</v>
      </c>
      <c r="AT67" s="11" t="s">
        <v>28</v>
      </c>
      <c r="AU67" s="11" t="s">
        <v>34</v>
      </c>
      <c r="AV67" s="11" t="s">
        <v>50</v>
      </c>
      <c r="AW67" s="11" t="s">
        <v>46</v>
      </c>
    </row>
    <row r="68" spans="1:49" x14ac:dyDescent="0.25">
      <c r="A68" s="2" t="str">
        <f t="shared" si="6"/>
        <v>jueves</v>
      </c>
      <c r="B68" s="14">
        <f t="shared" si="7"/>
        <v>46198.833333333321</v>
      </c>
      <c r="C68" s="15">
        <f t="shared" si="8"/>
        <v>46198.833333333321</v>
      </c>
      <c r="D68" s="2" t="s">
        <v>94</v>
      </c>
      <c r="E68" s="2" t="s">
        <v>96</v>
      </c>
      <c r="F68" s="13"/>
      <c r="G68" s="13"/>
      <c r="H68" s="2" t="s">
        <v>111</v>
      </c>
      <c r="I68" s="2">
        <v>60</v>
      </c>
      <c r="J68" s="7" t="s">
        <v>101</v>
      </c>
      <c r="K68" s="23"/>
      <c r="L68" s="24"/>
      <c r="M68" s="25"/>
      <c r="N68" s="8">
        <f t="shared" si="9"/>
        <v>46198.833333333321</v>
      </c>
      <c r="O68" s="9" t="s">
        <v>30</v>
      </c>
      <c r="P68" s="16">
        <v>46198.916666666657</v>
      </c>
      <c r="U68" s="12" t="s">
        <v>160</v>
      </c>
      <c r="V68" s="12">
        <f>SUMPRODUCT(($O$9:$O$80="J")*((($E$9:$E$80=U68)+($H$9:$H$80=U68))&gt;0)*ISNUMBER($F$9:$F$80)*ISNUMBER($G$9:$G$80))</f>
        <v>0</v>
      </c>
      <c r="W68" s="12">
        <f>SUMPRODUCT(($O$9:$O$80="J")*ISNUMBER($F$9:$F$80)*ISNUMBER($G$9:$G$80)*((($E$9:$E$80=U68)*($F$9:$F$80&gt;$G$9:$G$80))+(($H$9:$H$80=U68)*($G$9:$G$80&gt;$F$9:$F$80))))</f>
        <v>0</v>
      </c>
      <c r="X68" s="12">
        <f>SUMPRODUCT(($O$9:$O$80="J")*ISNUMBER($F$9:$F$80)*ISNUMBER($G$9:$G$80)*((($E$9:$E$80=U68)+($H$9:$H$80=U68))&gt;0)*($F$9:$F$80=$G$9:$G$80))</f>
        <v>0</v>
      </c>
      <c r="Y68" s="12">
        <f>V68-W68-X68</f>
        <v>0</v>
      </c>
      <c r="Z68" s="12">
        <f>SUMPRODUCT(($O$9:$O$80="J")*ISNUMBER($F$9:$F$80)*ISNUMBER($G$9:$G$80)*($E$9:$E$80=U68)*$F$9:$F$80)+SUMPRODUCT(($O$9:$O$80="J")*ISNUMBER($F$9:$F$80)*ISNUMBER($G$9:$G$80)*($H$9:$H$80=U68)*$G$9:$G$80)</f>
        <v>0</v>
      </c>
      <c r="AA68" s="12">
        <f>SUMPRODUCT(($O$9:$O$80="J")*ISNUMBER($F$9:$F$80)*ISNUMBER($G$9:$G$80)*($E$9:$E$80=U68)*$G$9:$G$80)+SUMPRODUCT(($O$9:$O$80="J")*ISNUMBER($F$9:$F$80)*ISNUMBER($G$9:$G$80)*($H$9:$H$80=U68)*$F$9:$F$80)</f>
        <v>0</v>
      </c>
      <c r="AB68" s="12">
        <f>Z68-AA68</f>
        <v>0</v>
      </c>
      <c r="AC68" s="12">
        <f>W68*3+X68</f>
        <v>0</v>
      </c>
      <c r="AD68" s="12">
        <f>IF(COUNTIF($AC$67:$AC$70,AC68)=1,0,SUMPRODUCT(($O$9:$O$80="J")*ISNUMBER($F$9:$F$80)*ISNUMBER($G$9:$G$80)*((($E$9:$E$80=U68)*(((($H$9:$H$80=$U$67)*($AC$67=AC68))+(($H$9:$H$80=$U$68)*($AC$68=AC68))+(($H$9:$H$80=$U$69)*($AC$69=AC68))+(($H$9:$H$80=$U$70)*($AC$70=AC68)) )&gt;0)*(($F$9:$F$80&gt;$G$9:$G$80)*3+($F$9:$F$80=$G$9:$G$80)))+(($H$9:$H$80=U68)*(((($E$9:$E$80=$U$67)*($AC$67=AC68))+(($E$9:$E$80=$U$68)*($AC$68=AC68))+(($E$9:$E$80=$U$69)*($AC$69=AC68))+(($E$9:$E$80=$U$70)*($AC$70=AC68)) )&gt;0)*(($G$9:$G$80&gt;$F$9:$F$80)*3+($F$9:$F$80=$G$9:$G$80))))))</f>
        <v>0</v>
      </c>
      <c r="AE68" s="12">
        <f>IF(COUNTIF($AC$67:$AC$70,AC68)=1,0,SUMPRODUCT(($O$9:$O$80="J")*ISNUMBER($F$9:$F$80)*ISNUMBER($G$9:$G$80)*((($E$9:$E$80=U68)*(((($H$9:$H$80=$U$67)*($AC$67=AC68))+(($H$9:$H$80=$U$68)*($AC$68=AC68))+(($H$9:$H$80=$U$69)*($AC$69=AC68))+(($H$9:$H$80=$U$70)*($AC$70=AC68)) )&gt;0)*($F$9:$F$80-$G$9:$G$80))+(($H$9:$H$80=U68)*(((($E$9:$E$80=$U$67)*($AC$67=AC68))+(($E$9:$E$80=$U$68)*($AC$68=AC68))+(($E$9:$E$80=$U$69)*($AC$69=AC68))+(($E$9:$E$80=$U$70)*($AC$70=AC68)) )&gt;0)*($G$9:$G$80-$F$9:$F$80)))))</f>
        <v>0</v>
      </c>
      <c r="AF68" s="12">
        <f>IF(COUNTIF($AC$67:$AC$70,AC68)=1,0,SUMPRODUCT(($O$9:$O$80="J")*ISNUMBER($F$9:$F$80)*ISNUMBER($G$9:$G$80)*((($E$9:$E$80=U68)*(((($H$9:$H$80=$U$67)*($AC$67=AC68))+(($H$9:$H$80=$U$68)*($AC$68=AC68))+(($H$9:$H$80=$U$69)*($AC$69=AC68))+(($H$9:$H$80=$U$70)*($AC$70=AC68)) )&gt;0)*$F$9:$F$80)+(($H$9:$H$80=U68)*(((($E$9:$E$80=$U$67)*($AC$67=AC68))+(($E$9:$E$80=$U$68)*($AC$68=AC68))+(($E$9:$E$80=$U$69)*($AC$69=AC68))+(($E$9:$E$80=$U$70)*($AC$70=AC68)) )&gt;0)*$G$9:$G$80))))</f>
        <v>0</v>
      </c>
      <c r="AG68" s="12">
        <f>1+SUMPRODUCT(--(($AC$67:$AC$70&gt;AC68)+(($AC$67:$AC$70=AC68)*($AD$67:$AD$70&gt;AD68))+(($AC$67:$AC$70=AC68)*($AD$67:$AD$70=AD68)*($AE$67:$AE$70&gt;AE68))+(($AC$67:$AC$70=AC68)*($AD$67:$AD$70=AD68)*($AE$67:$AE$70=AE68)*($AF$67:$AF$70&gt;AF68))+(($AC$67:$AC$70=AC68)*($AD$67:$AD$70=AD68)*($AE$67:$AE$70=AE68)*($AF$67:$AF$70=AF68)*($AB$67:$AB$70&gt;AB68))+(($AC$67:$AC$70=AC68)*($AD$67:$AD$70=AD68)*($AE$67:$AE$70=AE68)*($AF$67:$AF$70=AF68)*($AB$67:$AB$70=AB68)*($Z$67:$Z$70&gt;Z68))+(($AC$67:$AC$70=AC68)*($AD$67:$AD$70=AD68)*($AE$67:$AE$70=AE68)*($AF$67:$AF$70=AF68)*($AB$67:$AB$70=AB68)*($Z$67:$Z$70=Z68)*($U$67:$U$70&lt;U68))))</f>
        <v>1</v>
      </c>
      <c r="AO68" s="11" t="s">
        <v>215</v>
      </c>
      <c r="AP68" s="11" t="s">
        <v>30</v>
      </c>
      <c r="AQ68" s="11" t="s">
        <v>32</v>
      </c>
      <c r="AR68" s="11" t="s">
        <v>33</v>
      </c>
      <c r="AS68" s="11" t="s">
        <v>46</v>
      </c>
      <c r="AT68" s="11" t="s">
        <v>28</v>
      </c>
      <c r="AU68" s="11" t="s">
        <v>34</v>
      </c>
      <c r="AV68" s="11" t="s">
        <v>50</v>
      </c>
      <c r="AW68" s="11" t="s">
        <v>60</v>
      </c>
    </row>
    <row r="69" spans="1:49" x14ac:dyDescent="0.25">
      <c r="A69" s="2" t="str">
        <f t="shared" si="6"/>
        <v>viernes</v>
      </c>
      <c r="B69" s="14">
        <f t="shared" si="7"/>
        <v>46199.541666666664</v>
      </c>
      <c r="C69" s="15">
        <f t="shared" si="8"/>
        <v>46199.541666666664</v>
      </c>
      <c r="D69" s="2" t="s">
        <v>150</v>
      </c>
      <c r="E69" s="2" t="s">
        <v>157</v>
      </c>
      <c r="F69" s="13"/>
      <c r="G69" s="13"/>
      <c r="H69" s="2" t="s">
        <v>153</v>
      </c>
      <c r="I69" s="2">
        <v>61</v>
      </c>
      <c r="J69" s="7" t="s">
        <v>109</v>
      </c>
      <c r="K69" s="23"/>
      <c r="L69" s="24"/>
      <c r="M69" s="25"/>
      <c r="N69" s="8">
        <f t="shared" si="9"/>
        <v>46199.541666666664</v>
      </c>
      <c r="O69" s="9" t="s">
        <v>46</v>
      </c>
      <c r="P69" s="16">
        <v>46199.625</v>
      </c>
      <c r="U69" s="12" t="s">
        <v>163</v>
      </c>
      <c r="V69" s="12">
        <f>SUMPRODUCT(($O$9:$O$80="J")*((($E$9:$E$80=U69)+($H$9:$H$80=U69))&gt;0)*ISNUMBER($F$9:$F$80)*ISNUMBER($G$9:$G$80))</f>
        <v>0</v>
      </c>
      <c r="W69" s="12">
        <f>SUMPRODUCT(($O$9:$O$80="J")*ISNUMBER($F$9:$F$80)*ISNUMBER($G$9:$G$80)*((($E$9:$E$80=U69)*($F$9:$F$80&gt;$G$9:$G$80))+(($H$9:$H$80=U69)*($G$9:$G$80&gt;$F$9:$F$80))))</f>
        <v>0</v>
      </c>
      <c r="X69" s="12">
        <f>SUMPRODUCT(($O$9:$O$80="J")*ISNUMBER($F$9:$F$80)*ISNUMBER($G$9:$G$80)*((($E$9:$E$80=U69)+($H$9:$H$80=U69))&gt;0)*($F$9:$F$80=$G$9:$G$80))</f>
        <v>0</v>
      </c>
      <c r="Y69" s="12">
        <f>V69-W69-X69</f>
        <v>0</v>
      </c>
      <c r="Z69" s="12">
        <f>SUMPRODUCT(($O$9:$O$80="J")*ISNUMBER($F$9:$F$80)*ISNUMBER($G$9:$G$80)*($E$9:$E$80=U69)*$F$9:$F$80)+SUMPRODUCT(($O$9:$O$80="J")*ISNUMBER($F$9:$F$80)*ISNUMBER($G$9:$G$80)*($H$9:$H$80=U69)*$G$9:$G$80)</f>
        <v>0</v>
      </c>
      <c r="AA69" s="12">
        <f>SUMPRODUCT(($O$9:$O$80="J")*ISNUMBER($F$9:$F$80)*ISNUMBER($G$9:$G$80)*($E$9:$E$80=U69)*$G$9:$G$80)+SUMPRODUCT(($O$9:$O$80="J")*ISNUMBER($F$9:$F$80)*ISNUMBER($G$9:$G$80)*($H$9:$H$80=U69)*$F$9:$F$80)</f>
        <v>0</v>
      </c>
      <c r="AB69" s="12">
        <f>Z69-AA69</f>
        <v>0</v>
      </c>
      <c r="AC69" s="12">
        <f>W69*3+X69</f>
        <v>0</v>
      </c>
      <c r="AD69" s="12">
        <f>IF(COUNTIF($AC$67:$AC$70,AC69)=1,0,SUMPRODUCT(($O$9:$O$80="J")*ISNUMBER($F$9:$F$80)*ISNUMBER($G$9:$G$80)*((($E$9:$E$80=U69)*(((($H$9:$H$80=$U$67)*($AC$67=AC69))+(($H$9:$H$80=$U$68)*($AC$68=AC69))+(($H$9:$H$80=$U$69)*($AC$69=AC69))+(($H$9:$H$80=$U$70)*($AC$70=AC69)) )&gt;0)*(($F$9:$F$80&gt;$G$9:$G$80)*3+($F$9:$F$80=$G$9:$G$80)))+(($H$9:$H$80=U69)*(((($E$9:$E$80=$U$67)*($AC$67=AC69))+(($E$9:$E$80=$U$68)*($AC$68=AC69))+(($E$9:$E$80=$U$69)*($AC$69=AC69))+(($E$9:$E$80=$U$70)*($AC$70=AC69)) )&gt;0)*(($G$9:$G$80&gt;$F$9:$F$80)*3+($F$9:$F$80=$G$9:$G$80))))))</f>
        <v>0</v>
      </c>
      <c r="AE69" s="12">
        <f>IF(COUNTIF($AC$67:$AC$70,AC69)=1,0,SUMPRODUCT(($O$9:$O$80="J")*ISNUMBER($F$9:$F$80)*ISNUMBER($G$9:$G$80)*((($E$9:$E$80=U69)*(((($H$9:$H$80=$U$67)*($AC$67=AC69))+(($H$9:$H$80=$U$68)*($AC$68=AC69))+(($H$9:$H$80=$U$69)*($AC$69=AC69))+(($H$9:$H$80=$U$70)*($AC$70=AC69)) )&gt;0)*($F$9:$F$80-$G$9:$G$80))+(($H$9:$H$80=U69)*(((($E$9:$E$80=$U$67)*($AC$67=AC69))+(($E$9:$E$80=$U$68)*($AC$68=AC69))+(($E$9:$E$80=$U$69)*($AC$69=AC69))+(($E$9:$E$80=$U$70)*($AC$70=AC69)) )&gt;0)*($G$9:$G$80-$F$9:$F$80)))))</f>
        <v>0</v>
      </c>
      <c r="AF69" s="12">
        <f>IF(COUNTIF($AC$67:$AC$70,AC69)=1,0,SUMPRODUCT(($O$9:$O$80="J")*ISNUMBER($F$9:$F$80)*ISNUMBER($G$9:$G$80)*((($E$9:$E$80=U69)*(((($H$9:$H$80=$U$67)*($AC$67=AC69))+(($H$9:$H$80=$U$68)*($AC$68=AC69))+(($H$9:$H$80=$U$69)*($AC$69=AC69))+(($H$9:$H$80=$U$70)*($AC$70=AC69)) )&gt;0)*$F$9:$F$80)+(($H$9:$H$80=U69)*(((($E$9:$E$80=$U$67)*($AC$67=AC69))+(($E$9:$E$80=$U$68)*($AC$68=AC69))+(($E$9:$E$80=$U$69)*($AC$69=AC69))+(($E$9:$E$80=$U$70)*($AC$70=AC69)) )&gt;0)*$G$9:$G$80))))</f>
        <v>0</v>
      </c>
      <c r="AG69" s="12">
        <f>1+SUMPRODUCT(--(($AC$67:$AC$70&gt;AC69)+(($AC$67:$AC$70=AC69)*($AD$67:$AD$70&gt;AD69))+(($AC$67:$AC$70=AC69)*($AD$67:$AD$70=AD69)*($AE$67:$AE$70&gt;AE69))+(($AC$67:$AC$70=AC69)*($AD$67:$AD$70=AD69)*($AE$67:$AE$70=AE69)*($AF$67:$AF$70&gt;AF69))+(($AC$67:$AC$70=AC69)*($AD$67:$AD$70=AD69)*($AE$67:$AE$70=AE69)*($AF$67:$AF$70=AF69)*($AB$67:$AB$70&gt;AB69))+(($AC$67:$AC$70=AC69)*($AD$67:$AD$70=AD69)*($AE$67:$AE$70=AE69)*($AF$67:$AF$70=AF69)*($AB$67:$AB$70=AB69)*($Z$67:$Z$70&gt;Z69))+(($AC$67:$AC$70=AC69)*($AD$67:$AD$70=AD69)*($AE$67:$AE$70=AE69)*($AF$67:$AF$70=AF69)*($AB$67:$AB$70=AB69)*($Z$67:$Z$70=Z69)*($U$67:$U$70&lt;U69))))</f>
        <v>3</v>
      </c>
      <c r="AO69" s="11" t="s">
        <v>216</v>
      </c>
      <c r="AP69" s="11" t="s">
        <v>30</v>
      </c>
      <c r="AQ69" s="11" t="s">
        <v>32</v>
      </c>
      <c r="AR69" s="11" t="s">
        <v>33</v>
      </c>
      <c r="AS69" s="11" t="s">
        <v>55</v>
      </c>
      <c r="AT69" s="11" t="s">
        <v>28</v>
      </c>
      <c r="AU69" s="11" t="s">
        <v>34</v>
      </c>
      <c r="AV69" s="11" t="s">
        <v>46</v>
      </c>
      <c r="AW69" s="11" t="s">
        <v>60</v>
      </c>
    </row>
    <row r="70" spans="1:49" x14ac:dyDescent="0.25">
      <c r="A70" s="2" t="str">
        <f t="shared" si="6"/>
        <v>viernes</v>
      </c>
      <c r="B70" s="14">
        <f t="shared" si="7"/>
        <v>46199.541666666664</v>
      </c>
      <c r="C70" s="15">
        <f t="shared" si="8"/>
        <v>46199.541666666664</v>
      </c>
      <c r="D70" s="2" t="s">
        <v>150</v>
      </c>
      <c r="E70" s="2" t="s">
        <v>154</v>
      </c>
      <c r="F70" s="13"/>
      <c r="G70" s="13"/>
      <c r="H70" s="2" t="s">
        <v>156</v>
      </c>
      <c r="I70" s="2">
        <v>62</v>
      </c>
      <c r="J70" s="7" t="s">
        <v>92</v>
      </c>
      <c r="K70" s="23"/>
      <c r="L70" s="24"/>
      <c r="M70" s="25"/>
      <c r="N70" s="8">
        <f t="shared" si="9"/>
        <v>46199.541666666664</v>
      </c>
      <c r="O70" s="9" t="s">
        <v>46</v>
      </c>
      <c r="P70" s="16">
        <v>46199.625</v>
      </c>
      <c r="U70" s="12" t="s">
        <v>164</v>
      </c>
      <c r="V70" s="12">
        <f>SUMPRODUCT(($O$9:$O$80="J")*((($E$9:$E$80=U70)+($H$9:$H$80=U70))&gt;0)*ISNUMBER($F$9:$F$80)*ISNUMBER($G$9:$G$80))</f>
        <v>0</v>
      </c>
      <c r="W70" s="12">
        <f>SUMPRODUCT(($O$9:$O$80="J")*ISNUMBER($F$9:$F$80)*ISNUMBER($G$9:$G$80)*((($E$9:$E$80=U70)*($F$9:$F$80&gt;$G$9:$G$80))+(($H$9:$H$80=U70)*($G$9:$G$80&gt;$F$9:$F$80))))</f>
        <v>0</v>
      </c>
      <c r="X70" s="12">
        <f>SUMPRODUCT(($O$9:$O$80="J")*ISNUMBER($F$9:$F$80)*ISNUMBER($G$9:$G$80)*((($E$9:$E$80=U70)+($H$9:$H$80=U70))&gt;0)*($F$9:$F$80=$G$9:$G$80))</f>
        <v>0</v>
      </c>
      <c r="Y70" s="12">
        <f>V70-W70-X70</f>
        <v>0</v>
      </c>
      <c r="Z70" s="12">
        <f>SUMPRODUCT(($O$9:$O$80="J")*ISNUMBER($F$9:$F$80)*ISNUMBER($G$9:$G$80)*($E$9:$E$80=U70)*$F$9:$F$80)+SUMPRODUCT(($O$9:$O$80="J")*ISNUMBER($F$9:$F$80)*ISNUMBER($G$9:$G$80)*($H$9:$H$80=U70)*$G$9:$G$80)</f>
        <v>0</v>
      </c>
      <c r="AA70" s="12">
        <f>SUMPRODUCT(($O$9:$O$80="J")*ISNUMBER($F$9:$F$80)*ISNUMBER($G$9:$G$80)*($E$9:$E$80=U70)*$G$9:$G$80)+SUMPRODUCT(($O$9:$O$80="J")*ISNUMBER($F$9:$F$80)*ISNUMBER($G$9:$G$80)*($H$9:$H$80=U70)*$F$9:$F$80)</f>
        <v>0</v>
      </c>
      <c r="AB70" s="12">
        <f>Z70-AA70</f>
        <v>0</v>
      </c>
      <c r="AC70" s="12">
        <f>W70*3+X70</f>
        <v>0</v>
      </c>
      <c r="AD70" s="12">
        <f>IF(COUNTIF($AC$67:$AC$70,AC70)=1,0,SUMPRODUCT(($O$9:$O$80="J")*ISNUMBER($F$9:$F$80)*ISNUMBER($G$9:$G$80)*((($E$9:$E$80=U70)*(((($H$9:$H$80=$U$67)*($AC$67=AC70))+(($H$9:$H$80=$U$68)*($AC$68=AC70))+(($H$9:$H$80=$U$69)*($AC$69=AC70))+(($H$9:$H$80=$U$70)*($AC$70=AC70)) )&gt;0)*(($F$9:$F$80&gt;$G$9:$G$80)*3+($F$9:$F$80=$G$9:$G$80)))+(($H$9:$H$80=U70)*(((($E$9:$E$80=$U$67)*($AC$67=AC70))+(($E$9:$E$80=$U$68)*($AC$68=AC70))+(($E$9:$E$80=$U$69)*($AC$69=AC70))+(($E$9:$E$80=$U$70)*($AC$70=AC70)) )&gt;0)*(($G$9:$G$80&gt;$F$9:$F$80)*3+($F$9:$F$80=$G$9:$G$80))))))</f>
        <v>0</v>
      </c>
      <c r="AE70" s="12">
        <f>IF(COUNTIF($AC$67:$AC$70,AC70)=1,0,SUMPRODUCT(($O$9:$O$80="J")*ISNUMBER($F$9:$F$80)*ISNUMBER($G$9:$G$80)*((($E$9:$E$80=U70)*(((($H$9:$H$80=$U$67)*($AC$67=AC70))+(($H$9:$H$80=$U$68)*($AC$68=AC70))+(($H$9:$H$80=$U$69)*($AC$69=AC70))+(($H$9:$H$80=$U$70)*($AC$70=AC70)) )&gt;0)*($F$9:$F$80-$G$9:$G$80))+(($H$9:$H$80=U70)*(((($E$9:$E$80=$U$67)*($AC$67=AC70))+(($E$9:$E$80=$U$68)*($AC$68=AC70))+(($E$9:$E$80=$U$69)*($AC$69=AC70))+(($E$9:$E$80=$U$70)*($AC$70=AC70)) )&gt;0)*($G$9:$G$80-$F$9:$F$80)))))</f>
        <v>0</v>
      </c>
      <c r="AF70" s="12">
        <f>IF(COUNTIF($AC$67:$AC$70,AC70)=1,0,SUMPRODUCT(($O$9:$O$80="J")*ISNUMBER($F$9:$F$80)*ISNUMBER($G$9:$G$80)*((($E$9:$E$80=U70)*(((($H$9:$H$80=$U$67)*($AC$67=AC70))+(($H$9:$H$80=$U$68)*($AC$68=AC70))+(($H$9:$H$80=$U$69)*($AC$69=AC70))+(($H$9:$H$80=$U$70)*($AC$70=AC70)) )&gt;0)*$F$9:$F$80)+(($H$9:$H$80=U70)*(((($E$9:$E$80=$U$67)*($AC$67=AC70))+(($E$9:$E$80=$U$68)*($AC$68=AC70))+(($E$9:$E$80=$U$69)*($AC$69=AC70))+(($E$9:$E$80=$U$70)*($AC$70=AC70)) )&gt;0)*$G$9:$G$80))))</f>
        <v>0</v>
      </c>
      <c r="AG70" s="12">
        <f>1+SUMPRODUCT(--(($AC$67:$AC$70&gt;AC70)+(($AC$67:$AC$70=AC70)*($AD$67:$AD$70&gt;AD70))+(($AC$67:$AC$70=AC70)*($AD$67:$AD$70=AD70)*($AE$67:$AE$70&gt;AE70))+(($AC$67:$AC$70=AC70)*($AD$67:$AD$70=AD70)*($AE$67:$AE$70=AE70)*($AF$67:$AF$70&gt;AF70))+(($AC$67:$AC$70=AC70)*($AD$67:$AD$70=AD70)*($AE$67:$AE$70=AE70)*($AF$67:$AF$70=AF70)*($AB$67:$AB$70&gt;AB70))+(($AC$67:$AC$70=AC70)*($AD$67:$AD$70=AD70)*($AE$67:$AE$70=AE70)*($AF$67:$AF$70=AF70)*($AB$67:$AB$70=AB70)*($Z$67:$Z$70&gt;Z70))+(($AC$67:$AC$70=AC70)*($AD$67:$AD$70=AD70)*($AE$67:$AE$70=AE70)*($AF$67:$AF$70=AF70)*($AB$67:$AB$70=AB70)*($Z$67:$Z$70=Z70)*($U$67:$U$70&lt;U70))))</f>
        <v>4</v>
      </c>
      <c r="AO70" s="11" t="s">
        <v>217</v>
      </c>
      <c r="AP70" s="11" t="s">
        <v>30</v>
      </c>
      <c r="AQ70" s="11" t="s">
        <v>32</v>
      </c>
      <c r="AR70" s="11" t="s">
        <v>33</v>
      </c>
      <c r="AS70" s="11" t="s">
        <v>55</v>
      </c>
      <c r="AT70" s="11" t="s">
        <v>28</v>
      </c>
      <c r="AU70" s="11" t="s">
        <v>34</v>
      </c>
      <c r="AV70" s="11" t="s">
        <v>50</v>
      </c>
      <c r="AW70" s="11" t="s">
        <v>60</v>
      </c>
    </row>
    <row r="71" spans="1:49" x14ac:dyDescent="0.25">
      <c r="A71" s="2" t="str">
        <f t="shared" si="6"/>
        <v>viernes</v>
      </c>
      <c r="B71" s="14">
        <f t="shared" si="7"/>
        <v>46199.750000000007</v>
      </c>
      <c r="C71" s="15">
        <f t="shared" si="8"/>
        <v>46199.750000000007</v>
      </c>
      <c r="D71" s="2" t="s">
        <v>132</v>
      </c>
      <c r="E71" s="2" t="s">
        <v>133</v>
      </c>
      <c r="F71" s="13"/>
      <c r="G71" s="13"/>
      <c r="H71" s="2" t="s">
        <v>141</v>
      </c>
      <c r="I71" s="2">
        <v>65</v>
      </c>
      <c r="J71" s="7" t="s">
        <v>119</v>
      </c>
      <c r="K71" s="23"/>
      <c r="L71" s="24"/>
      <c r="M71" s="25"/>
      <c r="N71" s="8">
        <f t="shared" si="9"/>
        <v>46199.750000000007</v>
      </c>
      <c r="O71" s="9" t="s">
        <v>33</v>
      </c>
      <c r="P71" s="16">
        <v>46199.833333333343</v>
      </c>
      <c r="AO71" s="11" t="s">
        <v>218</v>
      </c>
      <c r="AP71" s="11" t="s">
        <v>30</v>
      </c>
      <c r="AQ71" s="11" t="s">
        <v>32</v>
      </c>
      <c r="AR71" s="11" t="s">
        <v>46</v>
      </c>
      <c r="AS71" s="11" t="s">
        <v>55</v>
      </c>
      <c r="AT71" s="11" t="s">
        <v>28</v>
      </c>
      <c r="AU71" s="11" t="s">
        <v>34</v>
      </c>
      <c r="AV71" s="11" t="s">
        <v>50</v>
      </c>
      <c r="AW71" s="11" t="s">
        <v>60</v>
      </c>
    </row>
    <row r="72" spans="1:49" x14ac:dyDescent="0.25">
      <c r="A72" s="2" t="str">
        <f t="shared" si="6"/>
        <v>viernes</v>
      </c>
      <c r="B72" s="14">
        <f t="shared" si="7"/>
        <v>46199.750000000007</v>
      </c>
      <c r="C72" s="15">
        <f t="shared" si="8"/>
        <v>46199.750000000007</v>
      </c>
      <c r="D72" s="2" t="s">
        <v>132</v>
      </c>
      <c r="E72" s="2" t="s">
        <v>142</v>
      </c>
      <c r="F72" s="13"/>
      <c r="G72" s="13"/>
      <c r="H72" s="2" t="s">
        <v>27</v>
      </c>
      <c r="I72" s="2">
        <v>66</v>
      </c>
      <c r="J72" s="7" t="s">
        <v>88</v>
      </c>
      <c r="K72" s="23"/>
      <c r="L72" s="24"/>
      <c r="M72" s="25"/>
      <c r="N72" s="8">
        <f t="shared" si="9"/>
        <v>46199.750000000007</v>
      </c>
      <c r="O72" s="9" t="s">
        <v>33</v>
      </c>
      <c r="P72" s="16">
        <v>46199.833333333343</v>
      </c>
      <c r="AO72" s="11" t="s">
        <v>219</v>
      </c>
      <c r="AP72" s="11" t="s">
        <v>28</v>
      </c>
      <c r="AQ72" s="11" t="s">
        <v>31</v>
      </c>
      <c r="AR72" s="11" t="s">
        <v>32</v>
      </c>
      <c r="AS72" s="11" t="s">
        <v>36</v>
      </c>
      <c r="AT72" s="11" t="s">
        <v>33</v>
      </c>
      <c r="AU72" s="11" t="s">
        <v>34</v>
      </c>
      <c r="AV72" s="11" t="s">
        <v>35</v>
      </c>
      <c r="AW72" s="11" t="s">
        <v>46</v>
      </c>
    </row>
    <row r="73" spans="1:49" x14ac:dyDescent="0.25">
      <c r="A73" s="2" t="str">
        <f t="shared" ref="A73:A104" si="10">TEXT(N73,"[$-es-ES]dddd")</f>
        <v>viernes</v>
      </c>
      <c r="B73" s="14">
        <f t="shared" ref="B73:B104" si="11">N73</f>
        <v>46199.875000000007</v>
      </c>
      <c r="C73" s="15">
        <f t="shared" ref="C73:C104" si="12">N73</f>
        <v>46199.875000000007</v>
      </c>
      <c r="D73" s="2" t="s">
        <v>136</v>
      </c>
      <c r="E73" s="2" t="s">
        <v>138</v>
      </c>
      <c r="F73" s="13"/>
      <c r="G73" s="13"/>
      <c r="H73" s="2" t="s">
        <v>147</v>
      </c>
      <c r="I73" s="2">
        <v>63</v>
      </c>
      <c r="J73" s="7" t="s">
        <v>139</v>
      </c>
      <c r="K73" s="23"/>
      <c r="L73" s="24"/>
      <c r="M73" s="25"/>
      <c r="N73" s="8">
        <f t="shared" ref="N73:N104" si="13">P73+VLOOKUP($B$2,$R$2:$S$8,2,FALSE)/24</f>
        <v>46199.875000000007</v>
      </c>
      <c r="O73" s="9" t="s">
        <v>31</v>
      </c>
      <c r="P73" s="16">
        <v>46199.958333333343</v>
      </c>
      <c r="U73" s="12" t="s">
        <v>4</v>
      </c>
      <c r="V73" s="12" t="s">
        <v>39</v>
      </c>
      <c r="W73" s="12" t="s">
        <v>31</v>
      </c>
      <c r="X73" s="12" t="s">
        <v>36</v>
      </c>
      <c r="Y73" s="12" t="s">
        <v>40</v>
      </c>
      <c r="Z73" s="12" t="s">
        <v>7</v>
      </c>
      <c r="AA73" s="12" t="s">
        <v>41</v>
      </c>
      <c r="AB73" s="12" t="s">
        <v>6</v>
      </c>
      <c r="AC73" s="12" t="s">
        <v>5</v>
      </c>
      <c r="AD73" s="12" t="s">
        <v>42</v>
      </c>
      <c r="AE73" s="12" t="s">
        <v>43</v>
      </c>
      <c r="AF73" s="12" t="s">
        <v>44</v>
      </c>
      <c r="AG73" s="12" t="s">
        <v>8</v>
      </c>
      <c r="AO73" s="11" t="s">
        <v>220</v>
      </c>
      <c r="AP73" s="11" t="s">
        <v>28</v>
      </c>
      <c r="AQ73" s="11" t="s">
        <v>31</v>
      </c>
      <c r="AR73" s="11" t="s">
        <v>32</v>
      </c>
      <c r="AS73" s="11" t="s">
        <v>36</v>
      </c>
      <c r="AT73" s="11" t="s">
        <v>33</v>
      </c>
      <c r="AU73" s="11" t="s">
        <v>34</v>
      </c>
      <c r="AV73" s="11" t="s">
        <v>35</v>
      </c>
      <c r="AW73" s="11" t="s">
        <v>50</v>
      </c>
    </row>
    <row r="74" spans="1:49" x14ac:dyDescent="0.25">
      <c r="A74" s="2" t="str">
        <f t="shared" si="10"/>
        <v>viernes</v>
      </c>
      <c r="B74" s="14">
        <f t="shared" si="11"/>
        <v>46199.875000000007</v>
      </c>
      <c r="C74" s="15">
        <f t="shared" si="12"/>
        <v>46199.875000000007</v>
      </c>
      <c r="D74" s="2" t="s">
        <v>136</v>
      </c>
      <c r="E74" s="2" t="s">
        <v>148</v>
      </c>
      <c r="F74" s="13"/>
      <c r="G74" s="13"/>
      <c r="H74" s="2" t="s">
        <v>137</v>
      </c>
      <c r="I74" s="2">
        <v>64</v>
      </c>
      <c r="J74" s="7" t="s">
        <v>113</v>
      </c>
      <c r="K74" s="23"/>
      <c r="L74" s="24"/>
      <c r="M74" s="25"/>
      <c r="N74" s="8">
        <f t="shared" si="13"/>
        <v>46199.875000000007</v>
      </c>
      <c r="O74" s="9" t="s">
        <v>31</v>
      </c>
      <c r="P74" s="16">
        <v>46199.958333333343</v>
      </c>
      <c r="U74" s="12" t="s">
        <v>167</v>
      </c>
      <c r="V74" s="12">
        <f>SUMPRODUCT(($O$9:$O$80="K")*((($E$9:$E$80=U74)+($H$9:$H$80=U74))&gt;0)*ISNUMBER($F$9:$F$80)*ISNUMBER($G$9:$G$80))</f>
        <v>0</v>
      </c>
      <c r="W74" s="12">
        <f>SUMPRODUCT(($O$9:$O$80="K")*ISNUMBER($F$9:$F$80)*ISNUMBER($G$9:$G$80)*((($E$9:$E$80=U74)*($F$9:$F$80&gt;$G$9:$G$80))+(($H$9:$H$80=U74)*($G$9:$G$80&gt;$F$9:$F$80))))</f>
        <v>0</v>
      </c>
      <c r="X74" s="12">
        <f>SUMPRODUCT(($O$9:$O$80="K")*ISNUMBER($F$9:$F$80)*ISNUMBER($G$9:$G$80)*((($E$9:$E$80=U74)+($H$9:$H$80=U74))&gt;0)*($F$9:$F$80=$G$9:$G$80))</f>
        <v>0</v>
      </c>
      <c r="Y74" s="12">
        <f>V74-W74-X74</f>
        <v>0</v>
      </c>
      <c r="Z74" s="12">
        <f>SUMPRODUCT(($O$9:$O$80="K")*ISNUMBER($F$9:$F$80)*ISNUMBER($G$9:$G$80)*($E$9:$E$80=U74)*$F$9:$F$80)+SUMPRODUCT(($O$9:$O$80="K")*ISNUMBER($F$9:$F$80)*ISNUMBER($G$9:$G$80)*($H$9:$H$80=U74)*$G$9:$G$80)</f>
        <v>0</v>
      </c>
      <c r="AA74" s="12">
        <f>SUMPRODUCT(($O$9:$O$80="K")*ISNUMBER($F$9:$F$80)*ISNUMBER($G$9:$G$80)*($E$9:$E$80=U74)*$G$9:$G$80)+SUMPRODUCT(($O$9:$O$80="K")*ISNUMBER($F$9:$F$80)*ISNUMBER($G$9:$G$80)*($H$9:$H$80=U74)*$F$9:$F$80)</f>
        <v>0</v>
      </c>
      <c r="AB74" s="12">
        <f>Z74-AA74</f>
        <v>0</v>
      </c>
      <c r="AC74" s="12">
        <f>W74*3+X74</f>
        <v>0</v>
      </c>
      <c r="AD74" s="12">
        <f>IF(COUNTIF($AC$74:$AC$77,AC74)=1,0,SUMPRODUCT(($O$9:$O$80="K")*ISNUMBER($F$9:$F$80)*ISNUMBER($G$9:$G$80)*((($E$9:$E$80=U74)*(((($H$9:$H$80=$U$74)*($AC$74=AC74))+(($H$9:$H$80=$U$75)*($AC$75=AC74))+(($H$9:$H$80=$U$76)*($AC$76=AC74))+(($H$9:$H$80=$U$77)*($AC$77=AC74)) )&gt;0)*(($F$9:$F$80&gt;$G$9:$G$80)*3+($F$9:$F$80=$G$9:$G$80)))+(($H$9:$H$80=U74)*(((($E$9:$E$80=$U$74)*($AC$74=AC74))+(($E$9:$E$80=$U$75)*($AC$75=AC74))+(($E$9:$E$80=$U$76)*($AC$76=AC74))+(($E$9:$E$80=$U$77)*($AC$77=AC74)) )&gt;0)*(($G$9:$G$80&gt;$F$9:$F$80)*3+($F$9:$F$80=$G$9:$G$80))))))</f>
        <v>0</v>
      </c>
      <c r="AE74" s="12">
        <f>IF(COUNTIF($AC$74:$AC$77,AC74)=1,0,SUMPRODUCT(($O$9:$O$80="K")*ISNUMBER($F$9:$F$80)*ISNUMBER($G$9:$G$80)*((($E$9:$E$80=U74)*(((($H$9:$H$80=$U$74)*($AC$74=AC74))+(($H$9:$H$80=$U$75)*($AC$75=AC74))+(($H$9:$H$80=$U$76)*($AC$76=AC74))+(($H$9:$H$80=$U$77)*($AC$77=AC74)) )&gt;0)*($F$9:$F$80-$G$9:$G$80))+(($H$9:$H$80=U74)*(((($E$9:$E$80=$U$74)*($AC$74=AC74))+(($E$9:$E$80=$U$75)*($AC$75=AC74))+(($E$9:$E$80=$U$76)*($AC$76=AC74))+(($E$9:$E$80=$U$77)*($AC$77=AC74)) )&gt;0)*($G$9:$G$80-$F$9:$F$80)))))</f>
        <v>0</v>
      </c>
      <c r="AF74" s="12">
        <f>IF(COUNTIF($AC$74:$AC$77,AC74)=1,0,SUMPRODUCT(($O$9:$O$80="K")*ISNUMBER($F$9:$F$80)*ISNUMBER($G$9:$G$80)*((($E$9:$E$80=U74)*(((($H$9:$H$80=$U$74)*($AC$74=AC74))+(($H$9:$H$80=$U$75)*($AC$75=AC74))+(($H$9:$H$80=$U$76)*($AC$76=AC74))+(($H$9:$H$80=$U$77)*($AC$77=AC74)) )&gt;0)*$F$9:$F$80)+(($H$9:$H$80=U74)*(((($E$9:$E$80=$U$74)*($AC$74=AC74))+(($E$9:$E$80=$U$75)*($AC$75=AC74))+(($E$9:$E$80=$U$76)*($AC$76=AC74))+(($E$9:$E$80=$U$77)*($AC$77=AC74)) )&gt;0)*$G$9:$G$80))))</f>
        <v>0</v>
      </c>
      <c r="AG74" s="12">
        <f>1+SUMPRODUCT(--(($AC$74:$AC$77&gt;AC74)+(($AC$74:$AC$77=AC74)*($AD$74:$AD$77&gt;AD74))+(($AC$74:$AC$77=AC74)*($AD$74:$AD$77=AD74)*($AE$74:$AE$77&gt;AE74))+(($AC$74:$AC$77=AC74)*($AD$74:$AD$77=AD74)*($AE$74:$AE$77=AE74)*($AF$74:$AF$77&gt;AF74))+(($AC$74:$AC$77=AC74)*($AD$74:$AD$77=AD74)*($AE$74:$AE$77=AE74)*($AF$74:$AF$77=AF74)*($AB$74:$AB$77&gt;AB74))+(($AC$74:$AC$77=AC74)*($AD$74:$AD$77=AD74)*($AE$74:$AE$77=AE74)*($AF$74:$AF$77=AF74)*($AB$74:$AB$77=AB74)*($Z$74:$Z$77&gt;Z74))+(($AC$74:$AC$77=AC74)*($AD$74:$AD$77=AD74)*($AE$74:$AE$77=AE74)*($AF$74:$AF$77=AF74)*($AB$74:$AB$77=AB74)*($Z$74:$Z$77=Z74)*($U$74:$U$77&lt;U74))))</f>
        <v>2</v>
      </c>
      <c r="AO74" s="11" t="s">
        <v>221</v>
      </c>
      <c r="AP74" s="11" t="s">
        <v>28</v>
      </c>
      <c r="AQ74" s="11" t="s">
        <v>31</v>
      </c>
      <c r="AR74" s="11" t="s">
        <v>32</v>
      </c>
      <c r="AS74" s="11" t="s">
        <v>55</v>
      </c>
      <c r="AT74" s="11" t="s">
        <v>33</v>
      </c>
      <c r="AU74" s="11" t="s">
        <v>34</v>
      </c>
      <c r="AV74" s="11" t="s">
        <v>35</v>
      </c>
      <c r="AW74" s="11" t="s">
        <v>36</v>
      </c>
    </row>
    <row r="75" spans="1:49" x14ac:dyDescent="0.25">
      <c r="A75" s="2" t="str">
        <f t="shared" si="10"/>
        <v>sábado</v>
      </c>
      <c r="B75" s="14">
        <f t="shared" si="11"/>
        <v>46200.625000000007</v>
      </c>
      <c r="C75" s="15">
        <f t="shared" si="12"/>
        <v>46200.625000000007</v>
      </c>
      <c r="D75" s="2" t="s">
        <v>170</v>
      </c>
      <c r="E75" s="2" t="s">
        <v>175</v>
      </c>
      <c r="F75" s="13"/>
      <c r="G75" s="13"/>
      <c r="H75" s="2" t="s">
        <v>171</v>
      </c>
      <c r="I75" s="2">
        <v>67</v>
      </c>
      <c r="J75" s="7" t="s">
        <v>105</v>
      </c>
      <c r="K75" s="23"/>
      <c r="L75" s="24"/>
      <c r="M75" s="25"/>
      <c r="N75" s="8">
        <f t="shared" si="13"/>
        <v>46200.625000000007</v>
      </c>
      <c r="O75" s="9" t="s">
        <v>60</v>
      </c>
      <c r="P75" s="16">
        <v>46200.708333333343</v>
      </c>
      <c r="U75" s="12" t="s">
        <v>168</v>
      </c>
      <c r="V75" s="12">
        <f>SUMPRODUCT(($O$9:$O$80="K")*((($E$9:$E$80=U75)+($H$9:$H$80=U75))&gt;0)*ISNUMBER($F$9:$F$80)*ISNUMBER($G$9:$G$80))</f>
        <v>0</v>
      </c>
      <c r="W75" s="12">
        <f>SUMPRODUCT(($O$9:$O$80="K")*ISNUMBER($F$9:$F$80)*ISNUMBER($G$9:$G$80)*((($E$9:$E$80=U75)*($F$9:$F$80&gt;$G$9:$G$80))+(($H$9:$H$80=U75)*($G$9:$G$80&gt;$F$9:$F$80))))</f>
        <v>0</v>
      </c>
      <c r="X75" s="12">
        <f>SUMPRODUCT(($O$9:$O$80="K")*ISNUMBER($F$9:$F$80)*ISNUMBER($G$9:$G$80)*((($E$9:$E$80=U75)+($H$9:$H$80=U75))&gt;0)*($F$9:$F$80=$G$9:$G$80))</f>
        <v>0</v>
      </c>
      <c r="Y75" s="12">
        <f>V75-W75-X75</f>
        <v>0</v>
      </c>
      <c r="Z75" s="12">
        <f>SUMPRODUCT(($O$9:$O$80="K")*ISNUMBER($F$9:$F$80)*ISNUMBER($G$9:$G$80)*($E$9:$E$80=U75)*$F$9:$F$80)+SUMPRODUCT(($O$9:$O$80="K")*ISNUMBER($F$9:$F$80)*ISNUMBER($G$9:$G$80)*($H$9:$H$80=U75)*$G$9:$G$80)</f>
        <v>0</v>
      </c>
      <c r="AA75" s="12">
        <f>SUMPRODUCT(($O$9:$O$80="K")*ISNUMBER($F$9:$F$80)*ISNUMBER($G$9:$G$80)*($E$9:$E$80=U75)*$G$9:$G$80)+SUMPRODUCT(($O$9:$O$80="K")*ISNUMBER($F$9:$F$80)*ISNUMBER($G$9:$G$80)*($H$9:$H$80=U75)*$F$9:$F$80)</f>
        <v>0</v>
      </c>
      <c r="AB75" s="12">
        <f>Z75-AA75</f>
        <v>0</v>
      </c>
      <c r="AC75" s="12">
        <f>W75*3+X75</f>
        <v>0</v>
      </c>
      <c r="AD75" s="12">
        <f>IF(COUNTIF($AC$74:$AC$77,AC75)=1,0,SUMPRODUCT(($O$9:$O$80="K")*ISNUMBER($F$9:$F$80)*ISNUMBER($G$9:$G$80)*((($E$9:$E$80=U75)*(((($H$9:$H$80=$U$74)*($AC$74=AC75))+(($H$9:$H$80=$U$75)*($AC$75=AC75))+(($H$9:$H$80=$U$76)*($AC$76=AC75))+(($H$9:$H$80=$U$77)*($AC$77=AC75)) )&gt;0)*(($F$9:$F$80&gt;$G$9:$G$80)*3+($F$9:$F$80=$G$9:$G$80)))+(($H$9:$H$80=U75)*(((($E$9:$E$80=$U$74)*($AC$74=AC75))+(($E$9:$E$80=$U$75)*($AC$75=AC75))+(($E$9:$E$80=$U$76)*($AC$76=AC75))+(($E$9:$E$80=$U$77)*($AC$77=AC75)) )&gt;0)*(($G$9:$G$80&gt;$F$9:$F$80)*3+($F$9:$F$80=$G$9:$G$80))))))</f>
        <v>0</v>
      </c>
      <c r="AE75" s="12">
        <f>IF(COUNTIF($AC$74:$AC$77,AC75)=1,0,SUMPRODUCT(($O$9:$O$80="K")*ISNUMBER($F$9:$F$80)*ISNUMBER($G$9:$G$80)*((($E$9:$E$80=U75)*(((($H$9:$H$80=$U$74)*($AC$74=AC75))+(($H$9:$H$80=$U$75)*($AC$75=AC75))+(($H$9:$H$80=$U$76)*($AC$76=AC75))+(($H$9:$H$80=$U$77)*($AC$77=AC75)) )&gt;0)*($F$9:$F$80-$G$9:$G$80))+(($H$9:$H$80=U75)*(((($E$9:$E$80=$U$74)*($AC$74=AC75))+(($E$9:$E$80=$U$75)*($AC$75=AC75))+(($E$9:$E$80=$U$76)*($AC$76=AC75))+(($E$9:$E$80=$U$77)*($AC$77=AC75)) )&gt;0)*($G$9:$G$80-$F$9:$F$80)))))</f>
        <v>0</v>
      </c>
      <c r="AF75" s="12">
        <f>IF(COUNTIF($AC$74:$AC$77,AC75)=1,0,SUMPRODUCT(($O$9:$O$80="K")*ISNUMBER($F$9:$F$80)*ISNUMBER($G$9:$G$80)*((($E$9:$E$80=U75)*(((($H$9:$H$80=$U$74)*($AC$74=AC75))+(($H$9:$H$80=$U$75)*($AC$75=AC75))+(($H$9:$H$80=$U$76)*($AC$76=AC75))+(($H$9:$H$80=$U$77)*($AC$77=AC75)) )&gt;0)*$F$9:$F$80)+(($H$9:$H$80=U75)*(((($E$9:$E$80=$U$74)*($AC$74=AC75))+(($E$9:$E$80=$U$75)*($AC$75=AC75))+(($E$9:$E$80=$U$76)*($AC$76=AC75))+(($E$9:$E$80=$U$77)*($AC$77=AC75)) )&gt;0)*$G$9:$G$80))))</f>
        <v>0</v>
      </c>
      <c r="AG75" s="12">
        <f>1+SUMPRODUCT(--(($AC$74:$AC$77&gt;AC75)+(($AC$74:$AC$77=AC75)*($AD$74:$AD$77&gt;AD75))+(($AC$74:$AC$77=AC75)*($AD$74:$AD$77=AD75)*($AE$74:$AE$77&gt;AE75))+(($AC$74:$AC$77=AC75)*($AD$74:$AD$77=AD75)*($AE$74:$AE$77=AE75)*($AF$74:$AF$77&gt;AF75))+(($AC$74:$AC$77=AC75)*($AD$74:$AD$77=AD75)*($AE$74:$AE$77=AE75)*($AF$74:$AF$77=AF75)*($AB$74:$AB$77&gt;AB75))+(($AC$74:$AC$77=AC75)*($AD$74:$AD$77=AD75)*($AE$74:$AE$77=AE75)*($AF$74:$AF$77=AF75)*($AB$74:$AB$77=AB75)*($Z$74:$Z$77&gt;Z75))+(($AC$74:$AC$77=AC75)*($AD$74:$AD$77=AD75)*($AE$74:$AE$77=AE75)*($AF$74:$AF$77=AF75)*($AB$74:$AB$77=AB75)*($Z$74:$Z$77=Z75)*($U$74:$U$77&lt;U75))))</f>
        <v>3</v>
      </c>
      <c r="AO75" s="11" t="s">
        <v>222</v>
      </c>
      <c r="AP75" s="11" t="s">
        <v>28</v>
      </c>
      <c r="AQ75" s="11" t="s">
        <v>31</v>
      </c>
      <c r="AR75" s="11" t="s">
        <v>32</v>
      </c>
      <c r="AS75" s="11" t="s">
        <v>36</v>
      </c>
      <c r="AT75" s="11" t="s">
        <v>33</v>
      </c>
      <c r="AU75" s="11" t="s">
        <v>34</v>
      </c>
      <c r="AV75" s="11" t="s">
        <v>35</v>
      </c>
      <c r="AW75" s="11" t="s">
        <v>60</v>
      </c>
    </row>
    <row r="76" spans="1:49" x14ac:dyDescent="0.25">
      <c r="A76" s="2" t="str">
        <f t="shared" si="10"/>
        <v>sábado</v>
      </c>
      <c r="B76" s="14">
        <f t="shared" si="11"/>
        <v>46200.625000000007</v>
      </c>
      <c r="C76" s="15">
        <f t="shared" si="12"/>
        <v>46200.625000000007</v>
      </c>
      <c r="D76" s="2" t="s">
        <v>170</v>
      </c>
      <c r="E76" s="2" t="s">
        <v>172</v>
      </c>
      <c r="F76" s="13"/>
      <c r="G76" s="13"/>
      <c r="H76" s="2" t="s">
        <v>174</v>
      </c>
      <c r="I76" s="2">
        <v>68</v>
      </c>
      <c r="J76" s="7" t="s">
        <v>126</v>
      </c>
      <c r="K76" s="23"/>
      <c r="L76" s="24"/>
      <c r="M76" s="25"/>
      <c r="N76" s="8">
        <f t="shared" si="13"/>
        <v>46200.625000000007</v>
      </c>
      <c r="O76" s="9" t="s">
        <v>60</v>
      </c>
      <c r="P76" s="16">
        <v>46200.708333333343</v>
      </c>
      <c r="U76" s="12" t="s">
        <v>177</v>
      </c>
      <c r="V76" s="12">
        <f>SUMPRODUCT(($O$9:$O$80="K")*((($E$9:$E$80=U76)+($H$9:$H$80=U76))&gt;0)*ISNUMBER($F$9:$F$80)*ISNUMBER($G$9:$G$80))</f>
        <v>0</v>
      </c>
      <c r="W76" s="12">
        <f>SUMPRODUCT(($O$9:$O$80="K")*ISNUMBER($F$9:$F$80)*ISNUMBER($G$9:$G$80)*((($E$9:$E$80=U76)*($F$9:$F$80&gt;$G$9:$G$80))+(($H$9:$H$80=U76)*($G$9:$G$80&gt;$F$9:$F$80))))</f>
        <v>0</v>
      </c>
      <c r="X76" s="12">
        <f>SUMPRODUCT(($O$9:$O$80="K")*ISNUMBER($F$9:$F$80)*ISNUMBER($G$9:$G$80)*((($E$9:$E$80=U76)+($H$9:$H$80=U76))&gt;0)*($F$9:$F$80=$G$9:$G$80))</f>
        <v>0</v>
      </c>
      <c r="Y76" s="12">
        <f>V76-W76-X76</f>
        <v>0</v>
      </c>
      <c r="Z76" s="12">
        <f>SUMPRODUCT(($O$9:$O$80="K")*ISNUMBER($F$9:$F$80)*ISNUMBER($G$9:$G$80)*($E$9:$E$80=U76)*$F$9:$F$80)+SUMPRODUCT(($O$9:$O$80="K")*ISNUMBER($F$9:$F$80)*ISNUMBER($G$9:$G$80)*($H$9:$H$80=U76)*$G$9:$G$80)</f>
        <v>0</v>
      </c>
      <c r="AA76" s="12">
        <f>SUMPRODUCT(($O$9:$O$80="K")*ISNUMBER($F$9:$F$80)*ISNUMBER($G$9:$G$80)*($E$9:$E$80=U76)*$G$9:$G$80)+SUMPRODUCT(($O$9:$O$80="K")*ISNUMBER($F$9:$F$80)*ISNUMBER($G$9:$G$80)*($H$9:$H$80=U76)*$F$9:$F$80)</f>
        <v>0</v>
      </c>
      <c r="AB76" s="12">
        <f>Z76-AA76</f>
        <v>0</v>
      </c>
      <c r="AC76" s="12">
        <f>W76*3+X76</f>
        <v>0</v>
      </c>
      <c r="AD76" s="12">
        <f>IF(COUNTIF($AC$74:$AC$77,AC76)=1,0,SUMPRODUCT(($O$9:$O$80="K")*ISNUMBER($F$9:$F$80)*ISNUMBER($G$9:$G$80)*((($E$9:$E$80=U76)*(((($H$9:$H$80=$U$74)*($AC$74=AC76))+(($H$9:$H$80=$U$75)*($AC$75=AC76))+(($H$9:$H$80=$U$76)*($AC$76=AC76))+(($H$9:$H$80=$U$77)*($AC$77=AC76)) )&gt;0)*(($F$9:$F$80&gt;$G$9:$G$80)*3+($F$9:$F$80=$G$9:$G$80)))+(($H$9:$H$80=U76)*(((($E$9:$E$80=$U$74)*($AC$74=AC76))+(($E$9:$E$80=$U$75)*($AC$75=AC76))+(($E$9:$E$80=$U$76)*($AC$76=AC76))+(($E$9:$E$80=$U$77)*($AC$77=AC76)) )&gt;0)*(($G$9:$G$80&gt;$F$9:$F$80)*3+($F$9:$F$80=$G$9:$G$80))))))</f>
        <v>0</v>
      </c>
      <c r="AE76" s="12">
        <f>IF(COUNTIF($AC$74:$AC$77,AC76)=1,0,SUMPRODUCT(($O$9:$O$80="K")*ISNUMBER($F$9:$F$80)*ISNUMBER($G$9:$G$80)*((($E$9:$E$80=U76)*(((($H$9:$H$80=$U$74)*($AC$74=AC76))+(($H$9:$H$80=$U$75)*($AC$75=AC76))+(($H$9:$H$80=$U$76)*($AC$76=AC76))+(($H$9:$H$80=$U$77)*($AC$77=AC76)) )&gt;0)*($F$9:$F$80-$G$9:$G$80))+(($H$9:$H$80=U76)*(((($E$9:$E$80=$U$74)*($AC$74=AC76))+(($E$9:$E$80=$U$75)*($AC$75=AC76))+(($E$9:$E$80=$U$76)*($AC$76=AC76))+(($E$9:$E$80=$U$77)*($AC$77=AC76)) )&gt;0)*($G$9:$G$80-$F$9:$F$80)))))</f>
        <v>0</v>
      </c>
      <c r="AF76" s="12">
        <f>IF(COUNTIF($AC$74:$AC$77,AC76)=1,0,SUMPRODUCT(($O$9:$O$80="K")*ISNUMBER($F$9:$F$80)*ISNUMBER($G$9:$G$80)*((($E$9:$E$80=U76)*(((($H$9:$H$80=$U$74)*($AC$74=AC76))+(($H$9:$H$80=$U$75)*($AC$75=AC76))+(($H$9:$H$80=$U$76)*($AC$76=AC76))+(($H$9:$H$80=$U$77)*($AC$77=AC76)) )&gt;0)*$F$9:$F$80)+(($H$9:$H$80=U76)*(((($E$9:$E$80=$U$74)*($AC$74=AC76))+(($E$9:$E$80=$U$75)*($AC$75=AC76))+(($E$9:$E$80=$U$76)*($AC$76=AC76))+(($E$9:$E$80=$U$77)*($AC$77=AC76)) )&gt;0)*$G$9:$G$80))))</f>
        <v>0</v>
      </c>
      <c r="AG76" s="12">
        <f>1+SUMPRODUCT(--(($AC$74:$AC$77&gt;AC76)+(($AC$74:$AC$77=AC76)*($AD$74:$AD$77&gt;AD76))+(($AC$74:$AC$77=AC76)*($AD$74:$AD$77=AD76)*($AE$74:$AE$77&gt;AE76))+(($AC$74:$AC$77=AC76)*($AD$74:$AD$77=AD76)*($AE$74:$AE$77=AE76)*($AF$74:$AF$77&gt;AF76))+(($AC$74:$AC$77=AC76)*($AD$74:$AD$77=AD76)*($AE$74:$AE$77=AE76)*($AF$74:$AF$77=AF76)*($AB$74:$AB$77&gt;AB76))+(($AC$74:$AC$77=AC76)*($AD$74:$AD$77=AD76)*($AE$74:$AE$77=AE76)*($AF$74:$AF$77=AF76)*($AB$74:$AB$77=AB76)*($Z$74:$Z$77&gt;Z76))+(($AC$74:$AC$77=AC76)*($AD$74:$AD$77=AD76)*($AE$74:$AE$77=AE76)*($AF$74:$AF$77=AF76)*($AB$74:$AB$77=AB76)*($Z$74:$Z$77=Z76)*($U$74:$U$77&lt;U76))))</f>
        <v>4</v>
      </c>
      <c r="AO76" s="11" t="s">
        <v>223</v>
      </c>
      <c r="AP76" s="11" t="s">
        <v>28</v>
      </c>
      <c r="AQ76" s="11" t="s">
        <v>31</v>
      </c>
      <c r="AR76" s="11" t="s">
        <v>32</v>
      </c>
      <c r="AS76" s="11" t="s">
        <v>36</v>
      </c>
      <c r="AT76" s="11" t="s">
        <v>46</v>
      </c>
      <c r="AU76" s="11" t="s">
        <v>34</v>
      </c>
      <c r="AV76" s="11" t="s">
        <v>35</v>
      </c>
      <c r="AW76" s="11" t="s">
        <v>50</v>
      </c>
    </row>
    <row r="77" spans="1:49" x14ac:dyDescent="0.25">
      <c r="A77" s="2" t="str">
        <f t="shared" si="10"/>
        <v>sábado</v>
      </c>
      <c r="B77" s="14">
        <f t="shared" si="11"/>
        <v>46200.729166666664</v>
      </c>
      <c r="C77" s="15">
        <f t="shared" si="12"/>
        <v>46200.729166666664</v>
      </c>
      <c r="D77" s="2" t="s">
        <v>166</v>
      </c>
      <c r="E77" s="2" t="s">
        <v>57</v>
      </c>
      <c r="F77" s="13"/>
      <c r="G77" s="13"/>
      <c r="H77" s="2" t="s">
        <v>167</v>
      </c>
      <c r="I77" s="2">
        <v>71</v>
      </c>
      <c r="J77" s="7" t="s">
        <v>143</v>
      </c>
      <c r="K77" s="23"/>
      <c r="L77" s="24"/>
      <c r="M77" s="25"/>
      <c r="N77" s="8">
        <f t="shared" si="13"/>
        <v>46200.729166666664</v>
      </c>
      <c r="O77" s="9" t="s">
        <v>55</v>
      </c>
      <c r="P77" s="16">
        <v>46200.8125</v>
      </c>
      <c r="U77" s="12" t="s">
        <v>57</v>
      </c>
      <c r="V77" s="12">
        <f>SUMPRODUCT(($O$9:$O$80="K")*((($E$9:$E$80=U77)+($H$9:$H$80=U77))&gt;0)*ISNUMBER($F$9:$F$80)*ISNUMBER($G$9:$G$80))</f>
        <v>0</v>
      </c>
      <c r="W77" s="12">
        <f>SUMPRODUCT(($O$9:$O$80="K")*ISNUMBER($F$9:$F$80)*ISNUMBER($G$9:$G$80)*((($E$9:$E$80=U77)*($F$9:$F$80&gt;$G$9:$G$80))+(($H$9:$H$80=U77)*($G$9:$G$80&gt;$F$9:$F$80))))</f>
        <v>0</v>
      </c>
      <c r="X77" s="12">
        <f>SUMPRODUCT(($O$9:$O$80="K")*ISNUMBER($F$9:$F$80)*ISNUMBER($G$9:$G$80)*((($E$9:$E$80=U77)+($H$9:$H$80=U77))&gt;0)*($F$9:$F$80=$G$9:$G$80))</f>
        <v>0</v>
      </c>
      <c r="Y77" s="12">
        <f>V77-W77-X77</f>
        <v>0</v>
      </c>
      <c r="Z77" s="12">
        <f>SUMPRODUCT(($O$9:$O$80="K")*ISNUMBER($F$9:$F$80)*ISNUMBER($G$9:$G$80)*($E$9:$E$80=U77)*$F$9:$F$80)+SUMPRODUCT(($O$9:$O$80="K")*ISNUMBER($F$9:$F$80)*ISNUMBER($G$9:$G$80)*($H$9:$H$80=U77)*$G$9:$G$80)</f>
        <v>0</v>
      </c>
      <c r="AA77" s="12">
        <f>SUMPRODUCT(($O$9:$O$80="K")*ISNUMBER($F$9:$F$80)*ISNUMBER($G$9:$G$80)*($E$9:$E$80=U77)*$G$9:$G$80)+SUMPRODUCT(($O$9:$O$80="K")*ISNUMBER($F$9:$F$80)*ISNUMBER($G$9:$G$80)*($H$9:$H$80=U77)*$F$9:$F$80)</f>
        <v>0</v>
      </c>
      <c r="AB77" s="12">
        <f>Z77-AA77</f>
        <v>0</v>
      </c>
      <c r="AC77" s="12">
        <f>W77*3+X77</f>
        <v>0</v>
      </c>
      <c r="AD77" s="12">
        <f>IF(COUNTIF($AC$74:$AC$77,AC77)=1,0,SUMPRODUCT(($O$9:$O$80="K")*ISNUMBER($F$9:$F$80)*ISNUMBER($G$9:$G$80)*((($E$9:$E$80=U77)*(((($H$9:$H$80=$U$74)*($AC$74=AC77))+(($H$9:$H$80=$U$75)*($AC$75=AC77))+(($H$9:$H$80=$U$76)*($AC$76=AC77))+(($H$9:$H$80=$U$77)*($AC$77=AC77)) )&gt;0)*(($F$9:$F$80&gt;$G$9:$G$80)*3+($F$9:$F$80=$G$9:$G$80)))+(($H$9:$H$80=U77)*(((($E$9:$E$80=$U$74)*($AC$74=AC77))+(($E$9:$E$80=$U$75)*($AC$75=AC77))+(($E$9:$E$80=$U$76)*($AC$76=AC77))+(($E$9:$E$80=$U$77)*($AC$77=AC77)) )&gt;0)*(($G$9:$G$80&gt;$F$9:$F$80)*3+($F$9:$F$80=$G$9:$G$80))))))</f>
        <v>0</v>
      </c>
      <c r="AE77" s="12">
        <f>IF(COUNTIF($AC$74:$AC$77,AC77)=1,0,SUMPRODUCT(($O$9:$O$80="K")*ISNUMBER($F$9:$F$80)*ISNUMBER($G$9:$G$80)*((($E$9:$E$80=U77)*(((($H$9:$H$80=$U$74)*($AC$74=AC77))+(($H$9:$H$80=$U$75)*($AC$75=AC77))+(($H$9:$H$80=$U$76)*($AC$76=AC77))+(($H$9:$H$80=$U$77)*($AC$77=AC77)) )&gt;0)*($F$9:$F$80-$G$9:$G$80))+(($H$9:$H$80=U77)*(((($E$9:$E$80=$U$74)*($AC$74=AC77))+(($E$9:$E$80=$U$75)*($AC$75=AC77))+(($E$9:$E$80=$U$76)*($AC$76=AC77))+(($E$9:$E$80=$U$77)*($AC$77=AC77)) )&gt;0)*($G$9:$G$80-$F$9:$F$80)))))</f>
        <v>0</v>
      </c>
      <c r="AF77" s="12">
        <f>IF(COUNTIF($AC$74:$AC$77,AC77)=1,0,SUMPRODUCT(($O$9:$O$80="K")*ISNUMBER($F$9:$F$80)*ISNUMBER($G$9:$G$80)*((($E$9:$E$80=U77)*(((($H$9:$H$80=$U$74)*($AC$74=AC77))+(($H$9:$H$80=$U$75)*($AC$75=AC77))+(($H$9:$H$80=$U$76)*($AC$76=AC77))+(($H$9:$H$80=$U$77)*($AC$77=AC77)) )&gt;0)*$F$9:$F$80)+(($H$9:$H$80=U77)*(((($E$9:$E$80=$U$74)*($AC$74=AC77))+(($E$9:$E$80=$U$75)*($AC$75=AC77))+(($E$9:$E$80=$U$76)*($AC$76=AC77))+(($E$9:$E$80=$U$77)*($AC$77=AC77)) )&gt;0)*$G$9:$G$80))))</f>
        <v>0</v>
      </c>
      <c r="AG77" s="12">
        <f>1+SUMPRODUCT(--(($AC$74:$AC$77&gt;AC77)+(($AC$74:$AC$77=AC77)*($AD$74:$AD$77&gt;AD77))+(($AC$74:$AC$77=AC77)*($AD$74:$AD$77=AD77)*($AE$74:$AE$77&gt;AE77))+(($AC$74:$AC$77=AC77)*($AD$74:$AD$77=AD77)*($AE$74:$AE$77=AE77)*($AF$74:$AF$77&gt;AF77))+(($AC$74:$AC$77=AC77)*($AD$74:$AD$77=AD77)*($AE$74:$AE$77=AE77)*($AF$74:$AF$77=AF77)*($AB$74:$AB$77&gt;AB77))+(($AC$74:$AC$77=AC77)*($AD$74:$AD$77=AD77)*($AE$74:$AE$77=AE77)*($AF$74:$AF$77=AF77)*($AB$74:$AB$77=AB77)*($Z$74:$Z$77&gt;Z77))+(($AC$74:$AC$77=AC77)*($AD$74:$AD$77=AD77)*($AE$74:$AE$77=AE77)*($AF$74:$AF$77=AF77)*($AB$74:$AB$77=AB77)*($Z$74:$Z$77=Z77)*($U$74:$U$77&lt;U77))))</f>
        <v>1</v>
      </c>
      <c r="AO77" s="11" t="s">
        <v>224</v>
      </c>
      <c r="AP77" s="11" t="s">
        <v>28</v>
      </c>
      <c r="AQ77" s="11" t="s">
        <v>31</v>
      </c>
      <c r="AR77" s="11" t="s">
        <v>32</v>
      </c>
      <c r="AS77" s="11" t="s">
        <v>55</v>
      </c>
      <c r="AT77" s="11" t="s">
        <v>36</v>
      </c>
      <c r="AU77" s="11" t="s">
        <v>34</v>
      </c>
      <c r="AV77" s="11" t="s">
        <v>35</v>
      </c>
      <c r="AW77" s="11" t="s">
        <v>46</v>
      </c>
    </row>
    <row r="78" spans="1:49" x14ac:dyDescent="0.25">
      <c r="A78" s="2" t="str">
        <f t="shared" si="10"/>
        <v>sábado</v>
      </c>
      <c r="B78" s="14">
        <f t="shared" si="11"/>
        <v>46200.729166666664</v>
      </c>
      <c r="C78" s="15">
        <f t="shared" si="12"/>
        <v>46200.729166666664</v>
      </c>
      <c r="D78" s="2" t="s">
        <v>166</v>
      </c>
      <c r="E78" s="2" t="s">
        <v>168</v>
      </c>
      <c r="F78" s="13"/>
      <c r="G78" s="13"/>
      <c r="H78" s="2" t="s">
        <v>177</v>
      </c>
      <c r="I78" s="2">
        <v>72</v>
      </c>
      <c r="J78" s="7" t="s">
        <v>134</v>
      </c>
      <c r="K78" s="23"/>
      <c r="L78" s="24"/>
      <c r="M78" s="25"/>
      <c r="N78" s="8">
        <f t="shared" si="13"/>
        <v>46200.729166666664</v>
      </c>
      <c r="O78" s="9" t="s">
        <v>55</v>
      </c>
      <c r="P78" s="16">
        <v>46200.8125</v>
      </c>
      <c r="AO78" s="11" t="s">
        <v>225</v>
      </c>
      <c r="AP78" s="11" t="s">
        <v>28</v>
      </c>
      <c r="AQ78" s="11" t="s">
        <v>31</v>
      </c>
      <c r="AR78" s="11" t="s">
        <v>32</v>
      </c>
      <c r="AS78" s="11" t="s">
        <v>36</v>
      </c>
      <c r="AT78" s="11" t="s">
        <v>46</v>
      </c>
      <c r="AU78" s="11" t="s">
        <v>34</v>
      </c>
      <c r="AV78" s="11" t="s">
        <v>35</v>
      </c>
      <c r="AW78" s="11" t="s">
        <v>60</v>
      </c>
    </row>
    <row r="79" spans="1:49" x14ac:dyDescent="0.25">
      <c r="A79" s="2" t="str">
        <f t="shared" si="10"/>
        <v>sábado</v>
      </c>
      <c r="B79" s="14">
        <f t="shared" si="11"/>
        <v>46200.833333333321</v>
      </c>
      <c r="C79" s="15">
        <f t="shared" si="12"/>
        <v>46200.833333333321</v>
      </c>
      <c r="D79" s="2" t="s">
        <v>159</v>
      </c>
      <c r="E79" s="2" t="s">
        <v>160</v>
      </c>
      <c r="F79" s="13"/>
      <c r="G79" s="13"/>
      <c r="H79" s="2" t="s">
        <v>163</v>
      </c>
      <c r="I79" s="2">
        <v>69</v>
      </c>
      <c r="J79" s="7" t="s">
        <v>161</v>
      </c>
      <c r="K79" s="26" t="s">
        <v>226</v>
      </c>
      <c r="L79" s="27"/>
      <c r="M79" s="25"/>
      <c r="N79" s="8">
        <f t="shared" si="13"/>
        <v>46200.833333333321</v>
      </c>
      <c r="O79" s="9" t="s">
        <v>50</v>
      </c>
      <c r="P79" s="16">
        <v>46200.916666666657</v>
      </c>
      <c r="AO79" s="11" t="s">
        <v>227</v>
      </c>
      <c r="AP79" s="11" t="s">
        <v>28</v>
      </c>
      <c r="AQ79" s="11" t="s">
        <v>31</v>
      </c>
      <c r="AR79" s="11" t="s">
        <v>32</v>
      </c>
      <c r="AS79" s="11" t="s">
        <v>55</v>
      </c>
      <c r="AT79" s="11" t="s">
        <v>36</v>
      </c>
      <c r="AU79" s="11" t="s">
        <v>34</v>
      </c>
      <c r="AV79" s="11" t="s">
        <v>35</v>
      </c>
      <c r="AW79" s="11" t="s">
        <v>50</v>
      </c>
    </row>
    <row r="80" spans="1:49" x14ac:dyDescent="0.25">
      <c r="A80" s="2" t="str">
        <f t="shared" si="10"/>
        <v>sábado</v>
      </c>
      <c r="B80" s="14">
        <f t="shared" si="11"/>
        <v>46200.833333333321</v>
      </c>
      <c r="C80" s="15">
        <f t="shared" si="12"/>
        <v>46200.833333333321</v>
      </c>
      <c r="D80" s="2" t="s">
        <v>159</v>
      </c>
      <c r="E80" s="2" t="s">
        <v>164</v>
      </c>
      <c r="F80" s="13"/>
      <c r="G80" s="13"/>
      <c r="H80" s="2" t="s">
        <v>62</v>
      </c>
      <c r="I80" s="2">
        <v>70</v>
      </c>
      <c r="J80" s="7" t="s">
        <v>123</v>
      </c>
      <c r="K80" s="6" t="s">
        <v>71</v>
      </c>
      <c r="L80" s="6" t="s">
        <v>72</v>
      </c>
      <c r="M80" s="6" t="s">
        <v>228</v>
      </c>
      <c r="N80" s="8">
        <f t="shared" si="13"/>
        <v>46200.833333333321</v>
      </c>
      <c r="O80" s="9" t="s">
        <v>50</v>
      </c>
      <c r="P80" s="16">
        <v>46200.916666666657</v>
      </c>
      <c r="U80" s="12" t="s">
        <v>4</v>
      </c>
      <c r="V80" s="12" t="s">
        <v>39</v>
      </c>
      <c r="W80" s="12" t="s">
        <v>31</v>
      </c>
      <c r="X80" s="12" t="s">
        <v>36</v>
      </c>
      <c r="Y80" s="12" t="s">
        <v>40</v>
      </c>
      <c r="Z80" s="12" t="s">
        <v>7</v>
      </c>
      <c r="AA80" s="12" t="s">
        <v>41</v>
      </c>
      <c r="AB80" s="12" t="s">
        <v>6</v>
      </c>
      <c r="AC80" s="12" t="s">
        <v>5</v>
      </c>
      <c r="AD80" s="12" t="s">
        <v>42</v>
      </c>
      <c r="AE80" s="12" t="s">
        <v>43</v>
      </c>
      <c r="AF80" s="12" t="s">
        <v>44</v>
      </c>
      <c r="AG80" s="12" t="s">
        <v>8</v>
      </c>
      <c r="AO80" s="11" t="s">
        <v>229</v>
      </c>
      <c r="AP80" s="11" t="s">
        <v>28</v>
      </c>
      <c r="AQ80" s="11" t="s">
        <v>31</v>
      </c>
      <c r="AR80" s="11" t="s">
        <v>32</v>
      </c>
      <c r="AS80" s="11" t="s">
        <v>36</v>
      </c>
      <c r="AT80" s="11" t="s">
        <v>50</v>
      </c>
      <c r="AU80" s="11" t="s">
        <v>34</v>
      </c>
      <c r="AV80" s="11" t="s">
        <v>35</v>
      </c>
      <c r="AW80" s="11" t="s">
        <v>60</v>
      </c>
    </row>
    <row r="81" spans="1:49" x14ac:dyDescent="0.25">
      <c r="A81" s="2" t="str">
        <f t="shared" si="10"/>
        <v>domingo</v>
      </c>
      <c r="B81" s="14">
        <f t="shared" si="11"/>
        <v>46201.541666666664</v>
      </c>
      <c r="C81" s="15">
        <f t="shared" si="12"/>
        <v>46201.541666666664</v>
      </c>
      <c r="D81" s="2" t="s">
        <v>230</v>
      </c>
      <c r="E81" s="17" t="str">
        <f>IF(MIN($V$4:$V$7)=3,B119,"")</f>
        <v/>
      </c>
      <c r="F81" s="13"/>
      <c r="G81" s="13"/>
      <c r="H81" s="17" t="str">
        <f>IF(MIN($V$11:$V$14)=3,G119,"")</f>
        <v/>
      </c>
      <c r="I81" s="2">
        <v>73</v>
      </c>
      <c r="J81" s="2" t="s">
        <v>192</v>
      </c>
      <c r="K81" s="18"/>
      <c r="L81" s="18"/>
      <c r="M81" s="19" t="str">
        <f t="shared" ref="M81:M112" si="14">IF(AND(ISNUMBER(F81),ISNUMBER(G81)),IF(F81&gt;G81,E81,IF(G81&gt;F81,H81,IF(AND(ISNUMBER(K81),ISNUMBER(L81)),IF(K81&gt;L81,E81,IF(L81&gt;K81,H81,"")),""))),"")</f>
        <v/>
      </c>
      <c r="N81" s="10">
        <f t="shared" si="13"/>
        <v>46201.541666666664</v>
      </c>
      <c r="O81" s="2"/>
      <c r="P81" s="16">
        <v>46201.625</v>
      </c>
      <c r="U81" s="12" t="s">
        <v>171</v>
      </c>
      <c r="V81" s="12">
        <f>SUMPRODUCT(($O$9:$O$80="L")*((($E$9:$E$80=U81)+($H$9:$H$80=U81))&gt;0)*ISNUMBER($F$9:$F$80)*ISNUMBER($G$9:$G$80))</f>
        <v>0</v>
      </c>
      <c r="W81" s="12">
        <f>SUMPRODUCT(($O$9:$O$80="L")*ISNUMBER($F$9:$F$80)*ISNUMBER($G$9:$G$80)*((($E$9:$E$80=U81)*($F$9:$F$80&gt;$G$9:$G$80))+(($H$9:$H$80=U81)*($G$9:$G$80&gt;$F$9:$F$80))))</f>
        <v>0</v>
      </c>
      <c r="X81" s="12">
        <f>SUMPRODUCT(($O$9:$O$80="L")*ISNUMBER($F$9:$F$80)*ISNUMBER($G$9:$G$80)*((($E$9:$E$80=U81)+($H$9:$H$80=U81))&gt;0)*($F$9:$F$80=$G$9:$G$80))</f>
        <v>0</v>
      </c>
      <c r="Y81" s="12">
        <f>V81-W81-X81</f>
        <v>0</v>
      </c>
      <c r="Z81" s="12">
        <f>SUMPRODUCT(($O$9:$O$80="L")*ISNUMBER($F$9:$F$80)*ISNUMBER($G$9:$G$80)*($E$9:$E$80=U81)*$F$9:$F$80)+SUMPRODUCT(($O$9:$O$80="L")*ISNUMBER($F$9:$F$80)*ISNUMBER($G$9:$G$80)*($H$9:$H$80=U81)*$G$9:$G$80)</f>
        <v>0</v>
      </c>
      <c r="AA81" s="12">
        <f>SUMPRODUCT(($O$9:$O$80="L")*ISNUMBER($F$9:$F$80)*ISNUMBER($G$9:$G$80)*($E$9:$E$80=U81)*$G$9:$G$80)+SUMPRODUCT(($O$9:$O$80="L")*ISNUMBER($F$9:$F$80)*ISNUMBER($G$9:$G$80)*($H$9:$H$80=U81)*$F$9:$F$80)</f>
        <v>0</v>
      </c>
      <c r="AB81" s="12">
        <f>Z81-AA81</f>
        <v>0</v>
      </c>
      <c r="AC81" s="12">
        <f>W81*3+X81</f>
        <v>0</v>
      </c>
      <c r="AD81" s="12">
        <f>IF(COUNTIF($AC$81:$AC$84,AC81)=1,0,SUMPRODUCT(($O$9:$O$80="L")*ISNUMBER($F$9:$F$80)*ISNUMBER($G$9:$G$80)*((($E$9:$E$80=U81)*(((($H$9:$H$80=$U$81)*($AC$81=AC81))+(($H$9:$H$80=$U$82)*($AC$82=AC81))+(($H$9:$H$80=$U$83)*($AC$83=AC81))+(($H$9:$H$80=$U$84)*($AC$84=AC81)) )&gt;0)*(($F$9:$F$80&gt;$G$9:$G$80)*3+($F$9:$F$80=$G$9:$G$80)))+(($H$9:$H$80=U81)*(((($E$9:$E$80=$U$81)*($AC$81=AC81))+(($E$9:$E$80=$U$82)*($AC$82=AC81))+(($E$9:$E$80=$U$83)*($AC$83=AC81))+(($E$9:$E$80=$U$84)*($AC$84=AC81)) )&gt;0)*(($G$9:$G$80&gt;$F$9:$F$80)*3+($F$9:$F$80=$G$9:$G$80))))))</f>
        <v>0</v>
      </c>
      <c r="AE81" s="12">
        <f>IF(COUNTIF($AC$81:$AC$84,AC81)=1,0,SUMPRODUCT(($O$9:$O$80="L")*ISNUMBER($F$9:$F$80)*ISNUMBER($G$9:$G$80)*((($E$9:$E$80=U81)*(((($H$9:$H$80=$U$81)*($AC$81=AC81))+(($H$9:$H$80=$U$82)*($AC$82=AC81))+(($H$9:$H$80=$U$83)*($AC$83=AC81))+(($H$9:$H$80=$U$84)*($AC$84=AC81)) )&gt;0)*($F$9:$F$80-$G$9:$G$80))+(($H$9:$H$80=U81)*(((($E$9:$E$80=$U$81)*($AC$81=AC81))+(($E$9:$E$80=$U$82)*($AC$82=AC81))+(($E$9:$E$80=$U$83)*($AC$83=AC81))+(($E$9:$E$80=$U$84)*($AC$84=AC81)) )&gt;0)*($G$9:$G$80-$F$9:$F$80)))))</f>
        <v>0</v>
      </c>
      <c r="AF81" s="12">
        <f>IF(COUNTIF($AC$81:$AC$84,AC81)=1,0,SUMPRODUCT(($O$9:$O$80="L")*ISNUMBER($F$9:$F$80)*ISNUMBER($G$9:$G$80)*((($E$9:$E$80=U81)*(((($H$9:$H$80=$U$81)*($AC$81=AC81))+(($H$9:$H$80=$U$82)*($AC$82=AC81))+(($H$9:$H$80=$U$83)*($AC$83=AC81))+(($H$9:$H$80=$U$84)*($AC$84=AC81)) )&gt;0)*$F$9:$F$80)+(($H$9:$H$80=U81)*(((($E$9:$E$80=$U$81)*($AC$81=AC81))+(($E$9:$E$80=$U$82)*($AC$82=AC81))+(($E$9:$E$80=$U$83)*($AC$83=AC81))+(($E$9:$E$80=$U$84)*($AC$84=AC81)) )&gt;0)*$G$9:$G$80))))</f>
        <v>0</v>
      </c>
      <c r="AG81" s="12">
        <f>1+SUMPRODUCT(--(($AC$81:$AC$84&gt;AC81)+(($AC$81:$AC$84=AC81)*($AD$81:$AD$84&gt;AD81))+(($AC$81:$AC$84=AC81)*($AD$81:$AD$84=AD81)*($AE$81:$AE$84&gt;AE81))+(($AC$81:$AC$84=AC81)*($AD$81:$AD$84=AD81)*($AE$81:$AE$84=AE81)*($AF$81:$AF$84&gt;AF81))+(($AC$81:$AC$84=AC81)*($AD$81:$AD$84=AD81)*($AE$81:$AE$84=AE81)*($AF$81:$AF$84=AF81)*($AB$81:$AB$84&gt;AB81))+(($AC$81:$AC$84=AC81)*($AD$81:$AD$84=AD81)*($AE$81:$AE$84=AE81)*($AF$81:$AF$84=AF81)*($AB$81:$AB$84=AB81)*($Z$81:$Z$84&gt;Z81))+(($AC$81:$AC$84=AC81)*($AD$81:$AD$84=AD81)*($AE$81:$AE$84=AE81)*($AF$81:$AF$84=AF81)*($AB$81:$AB$84=AB81)*($Z$81:$Z$84=Z81)*($U$81:$U$84&lt;U81))))</f>
        <v>3</v>
      </c>
      <c r="AO81" s="11" t="s">
        <v>231</v>
      </c>
      <c r="AP81" s="11" t="s">
        <v>28</v>
      </c>
      <c r="AQ81" s="11" t="s">
        <v>31</v>
      </c>
      <c r="AR81" s="11" t="s">
        <v>32</v>
      </c>
      <c r="AS81" s="11" t="s">
        <v>55</v>
      </c>
      <c r="AT81" s="11" t="s">
        <v>36</v>
      </c>
      <c r="AU81" s="11" t="s">
        <v>34</v>
      </c>
      <c r="AV81" s="11" t="s">
        <v>35</v>
      </c>
      <c r="AW81" s="11" t="s">
        <v>60</v>
      </c>
    </row>
    <row r="82" spans="1:49" x14ac:dyDescent="0.25">
      <c r="A82" s="2" t="str">
        <f t="shared" si="10"/>
        <v>lunes</v>
      </c>
      <c r="B82" s="14">
        <f t="shared" si="11"/>
        <v>46202.458333333321</v>
      </c>
      <c r="C82" s="15">
        <f t="shared" si="12"/>
        <v>46202.458333333321</v>
      </c>
      <c r="D82" s="2" t="s">
        <v>230</v>
      </c>
      <c r="E82" s="17" t="str">
        <f>IF(MIN($V$18:$V$21)=3,L118,"")</f>
        <v/>
      </c>
      <c r="F82" s="13"/>
      <c r="G82" s="13"/>
      <c r="H82" s="17" t="str">
        <f>IF(MIN($V$39:$V$42)=3,L127,"")</f>
        <v/>
      </c>
      <c r="I82" s="2">
        <v>76</v>
      </c>
      <c r="J82" s="2" t="s">
        <v>119</v>
      </c>
      <c r="K82" s="13"/>
      <c r="L82" s="13"/>
      <c r="M82" s="17" t="str">
        <f t="shared" si="14"/>
        <v/>
      </c>
      <c r="N82" s="10">
        <f t="shared" si="13"/>
        <v>46202.458333333321</v>
      </c>
      <c r="O82" s="2"/>
      <c r="P82" s="16">
        <v>46202.541666666657</v>
      </c>
      <c r="U82" s="12" t="s">
        <v>172</v>
      </c>
      <c r="V82" s="12">
        <f>SUMPRODUCT(($O$9:$O$80="L")*((($E$9:$E$80=U82)+($H$9:$H$80=U82))&gt;0)*ISNUMBER($F$9:$F$80)*ISNUMBER($G$9:$G$80))</f>
        <v>0</v>
      </c>
      <c r="W82" s="12">
        <f>SUMPRODUCT(($O$9:$O$80="L")*ISNUMBER($F$9:$F$80)*ISNUMBER($G$9:$G$80)*((($E$9:$E$80=U82)*($F$9:$F$80&gt;$G$9:$G$80))+(($H$9:$H$80=U82)*($G$9:$G$80&gt;$F$9:$F$80))))</f>
        <v>0</v>
      </c>
      <c r="X82" s="12">
        <f>SUMPRODUCT(($O$9:$O$80="L")*ISNUMBER($F$9:$F$80)*ISNUMBER($G$9:$G$80)*((($E$9:$E$80=U82)+($H$9:$H$80=U82))&gt;0)*($F$9:$F$80=$G$9:$G$80))</f>
        <v>0</v>
      </c>
      <c r="Y82" s="12">
        <f>V82-W82-X82</f>
        <v>0</v>
      </c>
      <c r="Z82" s="12">
        <f>SUMPRODUCT(($O$9:$O$80="L")*ISNUMBER($F$9:$F$80)*ISNUMBER($G$9:$G$80)*($E$9:$E$80=U82)*$F$9:$F$80)+SUMPRODUCT(($O$9:$O$80="L")*ISNUMBER($F$9:$F$80)*ISNUMBER($G$9:$G$80)*($H$9:$H$80=U82)*$G$9:$G$80)</f>
        <v>0</v>
      </c>
      <c r="AA82" s="12">
        <f>SUMPRODUCT(($O$9:$O$80="L")*ISNUMBER($F$9:$F$80)*ISNUMBER($G$9:$G$80)*($E$9:$E$80=U82)*$G$9:$G$80)+SUMPRODUCT(($O$9:$O$80="L")*ISNUMBER($F$9:$F$80)*ISNUMBER($G$9:$G$80)*($H$9:$H$80=U82)*$F$9:$F$80)</f>
        <v>0</v>
      </c>
      <c r="AB82" s="12">
        <f>Z82-AA82</f>
        <v>0</v>
      </c>
      <c r="AC82" s="12">
        <f>W82*3+X82</f>
        <v>0</v>
      </c>
      <c r="AD82" s="12">
        <f>IF(COUNTIF($AC$81:$AC$84,AC82)=1,0,SUMPRODUCT(($O$9:$O$80="L")*ISNUMBER($F$9:$F$80)*ISNUMBER($G$9:$G$80)*((($E$9:$E$80=U82)*(((($H$9:$H$80=$U$81)*($AC$81=AC82))+(($H$9:$H$80=$U$82)*($AC$82=AC82))+(($H$9:$H$80=$U$83)*($AC$83=AC82))+(($H$9:$H$80=$U$84)*($AC$84=AC82)) )&gt;0)*(($F$9:$F$80&gt;$G$9:$G$80)*3+($F$9:$F$80=$G$9:$G$80)))+(($H$9:$H$80=U82)*(((($E$9:$E$80=$U$81)*($AC$81=AC82))+(($E$9:$E$80=$U$82)*($AC$82=AC82))+(($E$9:$E$80=$U$83)*($AC$83=AC82))+(($E$9:$E$80=$U$84)*($AC$84=AC82)) )&gt;0)*(($G$9:$G$80&gt;$F$9:$F$80)*3+($F$9:$F$80=$G$9:$G$80))))))</f>
        <v>0</v>
      </c>
      <c r="AE82" s="12">
        <f>IF(COUNTIF($AC$81:$AC$84,AC82)=1,0,SUMPRODUCT(($O$9:$O$80="L")*ISNUMBER($F$9:$F$80)*ISNUMBER($G$9:$G$80)*((($E$9:$E$80=U82)*(((($H$9:$H$80=$U$81)*($AC$81=AC82))+(($H$9:$H$80=$U$82)*($AC$82=AC82))+(($H$9:$H$80=$U$83)*($AC$83=AC82))+(($H$9:$H$80=$U$84)*($AC$84=AC82)) )&gt;0)*($F$9:$F$80-$G$9:$G$80))+(($H$9:$H$80=U82)*(((($E$9:$E$80=$U$81)*($AC$81=AC82))+(($E$9:$E$80=$U$82)*($AC$82=AC82))+(($E$9:$E$80=$U$83)*($AC$83=AC82))+(($E$9:$E$80=$U$84)*($AC$84=AC82)) )&gt;0)*($G$9:$G$80-$F$9:$F$80)))))</f>
        <v>0</v>
      </c>
      <c r="AF82" s="12">
        <f>IF(COUNTIF($AC$81:$AC$84,AC82)=1,0,SUMPRODUCT(($O$9:$O$80="L")*ISNUMBER($F$9:$F$80)*ISNUMBER($G$9:$G$80)*((($E$9:$E$80=U82)*(((($H$9:$H$80=$U$81)*($AC$81=AC82))+(($H$9:$H$80=$U$82)*($AC$82=AC82))+(($H$9:$H$80=$U$83)*($AC$83=AC82))+(($H$9:$H$80=$U$84)*($AC$84=AC82)) )&gt;0)*$F$9:$F$80)+(($H$9:$H$80=U82)*(((($E$9:$E$80=$U$81)*($AC$81=AC82))+(($E$9:$E$80=$U$82)*($AC$82=AC82))+(($E$9:$E$80=$U$83)*($AC$83=AC82))+(($E$9:$E$80=$U$84)*($AC$84=AC82)) )&gt;0)*$G$9:$G$80))))</f>
        <v>0</v>
      </c>
      <c r="AG82" s="12">
        <f>1+SUMPRODUCT(--(($AC$81:$AC$84&gt;AC82)+(($AC$81:$AC$84=AC82)*($AD$81:$AD$84&gt;AD82))+(($AC$81:$AC$84=AC82)*($AD$81:$AD$84=AD82)*($AE$81:$AE$84&gt;AE82))+(($AC$81:$AC$84=AC82)*($AD$81:$AD$84=AD82)*($AE$81:$AE$84=AE82)*($AF$81:$AF$84&gt;AF82))+(($AC$81:$AC$84=AC82)*($AD$81:$AD$84=AD82)*($AE$81:$AE$84=AE82)*($AF$81:$AF$84=AF82)*($AB$81:$AB$84&gt;AB82))+(($AC$81:$AC$84=AC82)*($AD$81:$AD$84=AD82)*($AE$81:$AE$84=AE82)*($AF$81:$AF$84=AF82)*($AB$81:$AB$84=AB82)*($Z$81:$Z$84&gt;Z82))+(($AC$81:$AC$84=AC82)*($AD$81:$AD$84=AD82)*($AE$81:$AE$84=AE82)*($AF$81:$AF$84=AF82)*($AB$81:$AB$84=AB82)*($Z$81:$Z$84=Z82)*($U$81:$U$84&lt;U82))))</f>
        <v>1</v>
      </c>
      <c r="AO82" s="11" t="s">
        <v>232</v>
      </c>
      <c r="AP82" s="11" t="s">
        <v>28</v>
      </c>
      <c r="AQ82" s="11" t="s">
        <v>32</v>
      </c>
      <c r="AR82" s="11" t="s">
        <v>36</v>
      </c>
      <c r="AS82" s="11" t="s">
        <v>33</v>
      </c>
      <c r="AT82" s="11" t="s">
        <v>46</v>
      </c>
      <c r="AU82" s="11" t="s">
        <v>34</v>
      </c>
      <c r="AV82" s="11" t="s">
        <v>35</v>
      </c>
      <c r="AW82" s="11" t="s">
        <v>50</v>
      </c>
    </row>
    <row r="83" spans="1:49" x14ac:dyDescent="0.25">
      <c r="A83" s="2" t="str">
        <f t="shared" si="10"/>
        <v>lunes</v>
      </c>
      <c r="B83" s="14">
        <f t="shared" si="11"/>
        <v>46202.604166666664</v>
      </c>
      <c r="C83" s="15">
        <f t="shared" si="12"/>
        <v>46202.604166666664</v>
      </c>
      <c r="D83" s="2" t="s">
        <v>230</v>
      </c>
      <c r="E83" s="17" t="str">
        <f>IF(MIN($V$32:$V$35)=3,G126,"")</f>
        <v/>
      </c>
      <c r="F83" s="13"/>
      <c r="G83" s="13"/>
      <c r="H83" s="17" t="str">
        <f>IF(MIN($V$4:$V$7,$V$11:$V$14,$V$18:$V$21,$V$25:$V$28,$V$32:$V$35,$V$39:$V$42,$V$46:$V$49,$V$53:$V$56,$V$60:$V$63,$V$67:$V$70,$V$74:$V$77,$V$81:$V$84)=3,IFERROR(INDEX($C$152:$C$163,MATCH(INDEX($AP$2:$AP$496,MATCH($AX$2,$AO$2:$AO$496,0)),$B$152:$B$163,0)),"3ABCDF"),"")</f>
        <v/>
      </c>
      <c r="I83" s="2">
        <v>74</v>
      </c>
      <c r="J83" s="2" t="s">
        <v>109</v>
      </c>
      <c r="K83" s="13"/>
      <c r="L83" s="13"/>
      <c r="M83" s="17" t="str">
        <f t="shared" si="14"/>
        <v/>
      </c>
      <c r="N83" s="10">
        <f t="shared" si="13"/>
        <v>46202.604166666664</v>
      </c>
      <c r="O83" s="2"/>
      <c r="P83" s="16">
        <v>46202.6875</v>
      </c>
      <c r="U83" s="12" t="s">
        <v>174</v>
      </c>
      <c r="V83" s="12">
        <f>SUMPRODUCT(($O$9:$O$80="L")*((($E$9:$E$80=U83)+($H$9:$H$80=U83))&gt;0)*ISNUMBER($F$9:$F$80)*ISNUMBER($G$9:$G$80))</f>
        <v>0</v>
      </c>
      <c r="W83" s="12">
        <f>SUMPRODUCT(($O$9:$O$80="L")*ISNUMBER($F$9:$F$80)*ISNUMBER($G$9:$G$80)*((($E$9:$E$80=U83)*($F$9:$F$80&gt;$G$9:$G$80))+(($H$9:$H$80=U83)*($G$9:$G$80&gt;$F$9:$F$80))))</f>
        <v>0</v>
      </c>
      <c r="X83" s="12">
        <f>SUMPRODUCT(($O$9:$O$80="L")*ISNUMBER($F$9:$F$80)*ISNUMBER($G$9:$G$80)*((($E$9:$E$80=U83)+($H$9:$H$80=U83))&gt;0)*($F$9:$F$80=$G$9:$G$80))</f>
        <v>0</v>
      </c>
      <c r="Y83" s="12">
        <f>V83-W83-X83</f>
        <v>0</v>
      </c>
      <c r="Z83" s="12">
        <f>SUMPRODUCT(($O$9:$O$80="L")*ISNUMBER($F$9:$F$80)*ISNUMBER($G$9:$G$80)*($E$9:$E$80=U83)*$F$9:$F$80)+SUMPRODUCT(($O$9:$O$80="L")*ISNUMBER($F$9:$F$80)*ISNUMBER($G$9:$G$80)*($H$9:$H$80=U83)*$G$9:$G$80)</f>
        <v>0</v>
      </c>
      <c r="AA83" s="12">
        <f>SUMPRODUCT(($O$9:$O$80="L")*ISNUMBER($F$9:$F$80)*ISNUMBER($G$9:$G$80)*($E$9:$E$80=U83)*$G$9:$G$80)+SUMPRODUCT(($O$9:$O$80="L")*ISNUMBER($F$9:$F$80)*ISNUMBER($G$9:$G$80)*($H$9:$H$80=U83)*$F$9:$F$80)</f>
        <v>0</v>
      </c>
      <c r="AB83" s="12">
        <f>Z83-AA83</f>
        <v>0</v>
      </c>
      <c r="AC83" s="12">
        <f>W83*3+X83</f>
        <v>0</v>
      </c>
      <c r="AD83" s="12">
        <f>IF(COUNTIF($AC$81:$AC$84,AC83)=1,0,SUMPRODUCT(($O$9:$O$80="L")*ISNUMBER($F$9:$F$80)*ISNUMBER($G$9:$G$80)*((($E$9:$E$80=U83)*(((($H$9:$H$80=$U$81)*($AC$81=AC83))+(($H$9:$H$80=$U$82)*($AC$82=AC83))+(($H$9:$H$80=$U$83)*($AC$83=AC83))+(($H$9:$H$80=$U$84)*($AC$84=AC83)) )&gt;0)*(($F$9:$F$80&gt;$G$9:$G$80)*3+($F$9:$F$80=$G$9:$G$80)))+(($H$9:$H$80=U83)*(((($E$9:$E$80=$U$81)*($AC$81=AC83))+(($E$9:$E$80=$U$82)*($AC$82=AC83))+(($E$9:$E$80=$U$83)*($AC$83=AC83))+(($E$9:$E$80=$U$84)*($AC$84=AC83)) )&gt;0)*(($G$9:$G$80&gt;$F$9:$F$80)*3+($F$9:$F$80=$G$9:$G$80))))))</f>
        <v>0</v>
      </c>
      <c r="AE83" s="12">
        <f>IF(COUNTIF($AC$81:$AC$84,AC83)=1,0,SUMPRODUCT(($O$9:$O$80="L")*ISNUMBER($F$9:$F$80)*ISNUMBER($G$9:$G$80)*((($E$9:$E$80=U83)*(((($H$9:$H$80=$U$81)*($AC$81=AC83))+(($H$9:$H$80=$U$82)*($AC$82=AC83))+(($H$9:$H$80=$U$83)*($AC$83=AC83))+(($H$9:$H$80=$U$84)*($AC$84=AC83)) )&gt;0)*($F$9:$F$80-$G$9:$G$80))+(($H$9:$H$80=U83)*(((($E$9:$E$80=$U$81)*($AC$81=AC83))+(($E$9:$E$80=$U$82)*($AC$82=AC83))+(($E$9:$E$80=$U$83)*($AC$83=AC83))+(($E$9:$E$80=$U$84)*($AC$84=AC83)) )&gt;0)*($G$9:$G$80-$F$9:$F$80)))))</f>
        <v>0</v>
      </c>
      <c r="AF83" s="12">
        <f>IF(COUNTIF($AC$81:$AC$84,AC83)=1,0,SUMPRODUCT(($O$9:$O$80="L")*ISNUMBER($F$9:$F$80)*ISNUMBER($G$9:$G$80)*((($E$9:$E$80=U83)*(((($H$9:$H$80=$U$81)*($AC$81=AC83))+(($H$9:$H$80=$U$82)*($AC$82=AC83))+(($H$9:$H$80=$U$83)*($AC$83=AC83))+(($H$9:$H$80=$U$84)*($AC$84=AC83)) )&gt;0)*$F$9:$F$80)+(($H$9:$H$80=U83)*(((($E$9:$E$80=$U$81)*($AC$81=AC83))+(($E$9:$E$80=$U$82)*($AC$82=AC83))+(($E$9:$E$80=$U$83)*($AC$83=AC83))+(($E$9:$E$80=$U$84)*($AC$84=AC83)) )&gt;0)*$G$9:$G$80))))</f>
        <v>0</v>
      </c>
      <c r="AG83" s="12">
        <f>1+SUMPRODUCT(--(($AC$81:$AC$84&gt;AC83)+(($AC$81:$AC$84=AC83)*($AD$81:$AD$84&gt;AD83))+(($AC$81:$AC$84=AC83)*($AD$81:$AD$84=AD83)*($AE$81:$AE$84&gt;AE83))+(($AC$81:$AC$84=AC83)*($AD$81:$AD$84=AD83)*($AE$81:$AE$84=AE83)*($AF$81:$AF$84&gt;AF83))+(($AC$81:$AC$84=AC83)*($AD$81:$AD$84=AD83)*($AE$81:$AE$84=AE83)*($AF$81:$AF$84=AF83)*($AB$81:$AB$84&gt;AB83))+(($AC$81:$AC$84=AC83)*($AD$81:$AD$84=AD83)*($AE$81:$AE$84=AE83)*($AF$81:$AF$84=AF83)*($AB$81:$AB$84=AB83)*($Z$81:$Z$84&gt;Z83))+(($AC$81:$AC$84=AC83)*($AD$81:$AD$84=AD83)*($AE$81:$AE$84=AE83)*($AF$81:$AF$84=AF83)*($AB$81:$AB$84=AB83)*($Z$81:$Z$84=Z83)*($U$81:$U$84&lt;U83))))</f>
        <v>2</v>
      </c>
      <c r="AO83" s="11" t="s">
        <v>233</v>
      </c>
      <c r="AP83" s="11" t="s">
        <v>28</v>
      </c>
      <c r="AQ83" s="11" t="s">
        <v>32</v>
      </c>
      <c r="AR83" s="11" t="s">
        <v>36</v>
      </c>
      <c r="AS83" s="11" t="s">
        <v>55</v>
      </c>
      <c r="AT83" s="11" t="s">
        <v>33</v>
      </c>
      <c r="AU83" s="11" t="s">
        <v>34</v>
      </c>
      <c r="AV83" s="11" t="s">
        <v>35</v>
      </c>
      <c r="AW83" s="11" t="s">
        <v>46</v>
      </c>
    </row>
    <row r="84" spans="1:49" x14ac:dyDescent="0.25">
      <c r="A84" s="2" t="str">
        <f t="shared" si="10"/>
        <v>lunes</v>
      </c>
      <c r="B84" s="14">
        <f t="shared" si="11"/>
        <v>46202.791666666664</v>
      </c>
      <c r="C84" s="15">
        <f t="shared" si="12"/>
        <v>46202.791666666664</v>
      </c>
      <c r="D84" s="2" t="s">
        <v>230</v>
      </c>
      <c r="E84" s="17" t="str">
        <f>IF(MIN($V$39:$V$42)=3,L126,"")</f>
        <v/>
      </c>
      <c r="F84" s="13"/>
      <c r="G84" s="13"/>
      <c r="H84" s="17" t="str">
        <f>IF(MIN($V$18:$V$21)=3,L119,"")</f>
        <v/>
      </c>
      <c r="I84" s="2">
        <v>75</v>
      </c>
      <c r="J84" s="2" t="s">
        <v>130</v>
      </c>
      <c r="K84" s="13"/>
      <c r="L84" s="13"/>
      <c r="M84" s="17" t="str">
        <f t="shared" si="14"/>
        <v/>
      </c>
      <c r="N84" s="10">
        <f t="shared" si="13"/>
        <v>46202.791666666664</v>
      </c>
      <c r="O84" s="2"/>
      <c r="P84" s="16">
        <v>46202.875</v>
      </c>
      <c r="U84" s="12" t="s">
        <v>175</v>
      </c>
      <c r="V84" s="12">
        <f>SUMPRODUCT(($O$9:$O$80="L")*((($E$9:$E$80=U84)+($H$9:$H$80=U84))&gt;0)*ISNUMBER($F$9:$F$80)*ISNUMBER($G$9:$G$80))</f>
        <v>0</v>
      </c>
      <c r="W84" s="12">
        <f>SUMPRODUCT(($O$9:$O$80="L")*ISNUMBER($F$9:$F$80)*ISNUMBER($G$9:$G$80)*((($E$9:$E$80=U84)*($F$9:$F$80&gt;$G$9:$G$80))+(($H$9:$H$80=U84)*($G$9:$G$80&gt;$F$9:$F$80))))</f>
        <v>0</v>
      </c>
      <c r="X84" s="12">
        <f>SUMPRODUCT(($O$9:$O$80="L")*ISNUMBER($F$9:$F$80)*ISNUMBER($G$9:$G$80)*((($E$9:$E$80=U84)+($H$9:$H$80=U84))&gt;0)*($F$9:$F$80=$G$9:$G$80))</f>
        <v>0</v>
      </c>
      <c r="Y84" s="12">
        <f>V84-W84-X84</f>
        <v>0</v>
      </c>
      <c r="Z84" s="12">
        <f>SUMPRODUCT(($O$9:$O$80="L")*ISNUMBER($F$9:$F$80)*ISNUMBER($G$9:$G$80)*($E$9:$E$80=U84)*$F$9:$F$80)+SUMPRODUCT(($O$9:$O$80="L")*ISNUMBER($F$9:$F$80)*ISNUMBER($G$9:$G$80)*($H$9:$H$80=U84)*$G$9:$G$80)</f>
        <v>0</v>
      </c>
      <c r="AA84" s="12">
        <f>SUMPRODUCT(($O$9:$O$80="L")*ISNUMBER($F$9:$F$80)*ISNUMBER($G$9:$G$80)*($E$9:$E$80=U84)*$G$9:$G$80)+SUMPRODUCT(($O$9:$O$80="L")*ISNUMBER($F$9:$F$80)*ISNUMBER($G$9:$G$80)*($H$9:$H$80=U84)*$F$9:$F$80)</f>
        <v>0</v>
      </c>
      <c r="AB84" s="12">
        <f>Z84-AA84</f>
        <v>0</v>
      </c>
      <c r="AC84" s="12">
        <f>W84*3+X84</f>
        <v>0</v>
      </c>
      <c r="AD84" s="12">
        <f>IF(COUNTIF($AC$81:$AC$84,AC84)=1,0,SUMPRODUCT(($O$9:$O$80="L")*ISNUMBER($F$9:$F$80)*ISNUMBER($G$9:$G$80)*((($E$9:$E$80=U84)*(((($H$9:$H$80=$U$81)*($AC$81=AC84))+(($H$9:$H$80=$U$82)*($AC$82=AC84))+(($H$9:$H$80=$U$83)*($AC$83=AC84))+(($H$9:$H$80=$U$84)*($AC$84=AC84)) )&gt;0)*(($F$9:$F$80&gt;$G$9:$G$80)*3+($F$9:$F$80=$G$9:$G$80)))+(($H$9:$H$80=U84)*(((($E$9:$E$80=$U$81)*($AC$81=AC84))+(($E$9:$E$80=$U$82)*($AC$82=AC84))+(($E$9:$E$80=$U$83)*($AC$83=AC84))+(($E$9:$E$80=$U$84)*($AC$84=AC84)) )&gt;0)*(($G$9:$G$80&gt;$F$9:$F$80)*3+($F$9:$F$80=$G$9:$G$80))))))</f>
        <v>0</v>
      </c>
      <c r="AE84" s="12">
        <f>IF(COUNTIF($AC$81:$AC$84,AC84)=1,0,SUMPRODUCT(($O$9:$O$80="L")*ISNUMBER($F$9:$F$80)*ISNUMBER($G$9:$G$80)*((($E$9:$E$80=U84)*(((($H$9:$H$80=$U$81)*($AC$81=AC84))+(($H$9:$H$80=$U$82)*($AC$82=AC84))+(($H$9:$H$80=$U$83)*($AC$83=AC84))+(($H$9:$H$80=$U$84)*($AC$84=AC84)) )&gt;0)*($F$9:$F$80-$G$9:$G$80))+(($H$9:$H$80=U84)*(((($E$9:$E$80=$U$81)*($AC$81=AC84))+(($E$9:$E$80=$U$82)*($AC$82=AC84))+(($E$9:$E$80=$U$83)*($AC$83=AC84))+(($E$9:$E$80=$U$84)*($AC$84=AC84)) )&gt;0)*($G$9:$G$80-$F$9:$F$80)))))</f>
        <v>0</v>
      </c>
      <c r="AF84" s="12">
        <f>IF(COUNTIF($AC$81:$AC$84,AC84)=1,0,SUMPRODUCT(($O$9:$O$80="L")*ISNUMBER($F$9:$F$80)*ISNUMBER($G$9:$G$80)*((($E$9:$E$80=U84)*(((($H$9:$H$80=$U$81)*($AC$81=AC84))+(($H$9:$H$80=$U$82)*($AC$82=AC84))+(($H$9:$H$80=$U$83)*($AC$83=AC84))+(($H$9:$H$80=$U$84)*($AC$84=AC84)) )&gt;0)*$F$9:$F$80)+(($H$9:$H$80=U84)*(((($E$9:$E$80=$U$81)*($AC$81=AC84))+(($E$9:$E$80=$U$82)*($AC$82=AC84))+(($E$9:$E$80=$U$83)*($AC$83=AC84))+(($E$9:$E$80=$U$84)*($AC$84=AC84)) )&gt;0)*$G$9:$G$80))))</f>
        <v>0</v>
      </c>
      <c r="AG84" s="12">
        <f>1+SUMPRODUCT(--(($AC$81:$AC$84&gt;AC84)+(($AC$81:$AC$84=AC84)*($AD$81:$AD$84&gt;AD84))+(($AC$81:$AC$84=AC84)*($AD$81:$AD$84=AD84)*($AE$81:$AE$84&gt;AE84))+(($AC$81:$AC$84=AC84)*($AD$81:$AD$84=AD84)*($AE$81:$AE$84=AE84)*($AF$81:$AF$84&gt;AF84))+(($AC$81:$AC$84=AC84)*($AD$81:$AD$84=AD84)*($AE$81:$AE$84=AE84)*($AF$81:$AF$84=AF84)*($AB$81:$AB$84&gt;AB84))+(($AC$81:$AC$84=AC84)*($AD$81:$AD$84=AD84)*($AE$81:$AE$84=AE84)*($AF$81:$AF$84=AF84)*($AB$81:$AB$84=AB84)*($Z$81:$Z$84&gt;Z84))+(($AC$81:$AC$84=AC84)*($AD$81:$AD$84=AD84)*($AE$81:$AE$84=AE84)*($AF$81:$AF$84=AF84)*($AB$81:$AB$84=AB84)*($Z$81:$Z$84=Z84)*($U$81:$U$84&lt;U84))))</f>
        <v>4</v>
      </c>
      <c r="AO84" s="11" t="s">
        <v>234</v>
      </c>
      <c r="AP84" s="11" t="s">
        <v>28</v>
      </c>
      <c r="AQ84" s="11" t="s">
        <v>32</v>
      </c>
      <c r="AR84" s="11" t="s">
        <v>36</v>
      </c>
      <c r="AS84" s="11" t="s">
        <v>33</v>
      </c>
      <c r="AT84" s="11" t="s">
        <v>46</v>
      </c>
      <c r="AU84" s="11" t="s">
        <v>34</v>
      </c>
      <c r="AV84" s="11" t="s">
        <v>35</v>
      </c>
      <c r="AW84" s="11" t="s">
        <v>60</v>
      </c>
    </row>
    <row r="85" spans="1:49" x14ac:dyDescent="0.25">
      <c r="A85" s="2" t="str">
        <f t="shared" si="10"/>
        <v>martes</v>
      </c>
      <c r="B85" s="14">
        <f t="shared" si="11"/>
        <v>46203.500000000007</v>
      </c>
      <c r="C85" s="15">
        <f t="shared" si="12"/>
        <v>46203.500000000007</v>
      </c>
      <c r="D85" s="2" t="s">
        <v>230</v>
      </c>
      <c r="E85" s="17" t="str">
        <f>IF(MIN($V$32:$V$35)=3,G127,"")</f>
        <v/>
      </c>
      <c r="F85" s="13"/>
      <c r="G85" s="13"/>
      <c r="H85" s="17" t="str">
        <f>IF(MIN($V$60:$V$63)=3,L135,"")</f>
        <v/>
      </c>
      <c r="I85" s="2">
        <v>78</v>
      </c>
      <c r="J85" s="2" t="s">
        <v>123</v>
      </c>
      <c r="K85" s="13"/>
      <c r="L85" s="13"/>
      <c r="M85" s="17" t="str">
        <f t="shared" si="14"/>
        <v/>
      </c>
      <c r="N85" s="10">
        <f t="shared" si="13"/>
        <v>46203.500000000007</v>
      </c>
      <c r="O85" s="2"/>
      <c r="P85" s="16">
        <v>46203.583333333343</v>
      </c>
      <c r="AO85" s="11" t="s">
        <v>235</v>
      </c>
      <c r="AP85" s="11" t="s">
        <v>28</v>
      </c>
      <c r="AQ85" s="11" t="s">
        <v>32</v>
      </c>
      <c r="AR85" s="11" t="s">
        <v>36</v>
      </c>
      <c r="AS85" s="11" t="s">
        <v>55</v>
      </c>
      <c r="AT85" s="11" t="s">
        <v>33</v>
      </c>
      <c r="AU85" s="11" t="s">
        <v>34</v>
      </c>
      <c r="AV85" s="11" t="s">
        <v>35</v>
      </c>
      <c r="AW85" s="11" t="s">
        <v>50</v>
      </c>
    </row>
    <row r="86" spans="1:49" x14ac:dyDescent="0.25">
      <c r="A86" s="2" t="str">
        <f t="shared" si="10"/>
        <v>martes</v>
      </c>
      <c r="B86" s="14">
        <f t="shared" si="11"/>
        <v>46203.625000000007</v>
      </c>
      <c r="C86" s="15">
        <f t="shared" si="12"/>
        <v>46203.625000000007</v>
      </c>
      <c r="D86" s="2" t="s">
        <v>230</v>
      </c>
      <c r="E86" s="17" t="str">
        <f>IF(MIN($V$60:$V$63)=3,L134,"")</f>
        <v/>
      </c>
      <c r="F86" s="13"/>
      <c r="G86" s="13"/>
      <c r="H86" s="17" t="str">
        <f>IF(MIN($V$4:$V$7,$V$11:$V$14,$V$18:$V$21,$V$25:$V$28,$V$32:$V$35,$V$39:$V$42,$V$46:$V$49,$V$53:$V$56,$V$60:$V$63,$V$67:$V$70,$V$74:$V$77,$V$81:$V$84)=3,IFERROR(INDEX($C$152:$C$163,MATCH(INDEX($AQ$2:$AQ$496,MATCH($AX$2,$AO$2:$AO$496,0)),$B$152:$B$163,0)),"3CDFGH"),"")</f>
        <v/>
      </c>
      <c r="I86" s="2">
        <v>77</v>
      </c>
      <c r="J86" s="2" t="s">
        <v>105</v>
      </c>
      <c r="K86" s="13"/>
      <c r="L86" s="13"/>
      <c r="M86" s="17" t="str">
        <f t="shared" si="14"/>
        <v/>
      </c>
      <c r="N86" s="10">
        <f t="shared" si="13"/>
        <v>46203.625000000007</v>
      </c>
      <c r="O86" s="2"/>
      <c r="P86" s="16">
        <v>46203.708333333343</v>
      </c>
      <c r="AO86" s="11" t="s">
        <v>236</v>
      </c>
      <c r="AP86" s="11" t="s">
        <v>28</v>
      </c>
      <c r="AQ86" s="11" t="s">
        <v>32</v>
      </c>
      <c r="AR86" s="11" t="s">
        <v>36</v>
      </c>
      <c r="AS86" s="11" t="s">
        <v>33</v>
      </c>
      <c r="AT86" s="11" t="s">
        <v>50</v>
      </c>
      <c r="AU86" s="11" t="s">
        <v>34</v>
      </c>
      <c r="AV86" s="11" t="s">
        <v>35</v>
      </c>
      <c r="AW86" s="11" t="s">
        <v>60</v>
      </c>
    </row>
    <row r="87" spans="1:49" x14ac:dyDescent="0.25">
      <c r="A87" s="2" t="str">
        <f t="shared" si="10"/>
        <v>martes</v>
      </c>
      <c r="B87" s="14">
        <f t="shared" si="11"/>
        <v>46203.791666666664</v>
      </c>
      <c r="C87" s="15">
        <f t="shared" si="12"/>
        <v>46203.791666666664</v>
      </c>
      <c r="D87" s="2" t="s">
        <v>230</v>
      </c>
      <c r="E87" s="17" t="str">
        <f>IF(MIN($V$4:$V$7)=3,B118,"")</f>
        <v/>
      </c>
      <c r="F87" s="13"/>
      <c r="G87" s="13"/>
      <c r="H87" s="17" t="str">
        <f>IF(MIN($V$4:$V$7,$V$11:$V$14,$V$18:$V$21,$V$25:$V$28,$V$32:$V$35,$V$39:$V$42,$V$46:$V$49,$V$53:$V$56,$V$60:$V$63,$V$67:$V$70,$V$74:$V$77,$V$81:$V$84)=3,IFERROR(INDEX($C$152:$C$163,MATCH(INDEX($AR$2:$AR$496,MATCH($AX$2,$AO$2:$AO$496,0)),$B$152:$B$163,0)),"3CEFHI"),"")</f>
        <v/>
      </c>
      <c r="I87" s="2">
        <v>79</v>
      </c>
      <c r="J87" s="2" t="s">
        <v>83</v>
      </c>
      <c r="K87" s="13"/>
      <c r="L87" s="13"/>
      <c r="M87" s="17" t="str">
        <f t="shared" si="14"/>
        <v/>
      </c>
      <c r="N87" s="10">
        <f t="shared" si="13"/>
        <v>46203.791666666664</v>
      </c>
      <c r="O87" s="2"/>
      <c r="P87" s="16">
        <v>46203.875</v>
      </c>
      <c r="AO87" s="11" t="s">
        <v>237</v>
      </c>
      <c r="AP87" s="11" t="s">
        <v>28</v>
      </c>
      <c r="AQ87" s="11" t="s">
        <v>32</v>
      </c>
      <c r="AR87" s="11" t="s">
        <v>36</v>
      </c>
      <c r="AS87" s="11" t="s">
        <v>55</v>
      </c>
      <c r="AT87" s="11" t="s">
        <v>33</v>
      </c>
      <c r="AU87" s="11" t="s">
        <v>34</v>
      </c>
      <c r="AV87" s="11" t="s">
        <v>35</v>
      </c>
      <c r="AW87" s="11" t="s">
        <v>60</v>
      </c>
    </row>
    <row r="88" spans="1:49" x14ac:dyDescent="0.25">
      <c r="A88" s="2" t="str">
        <f t="shared" si="10"/>
        <v>miércoles</v>
      </c>
      <c r="B88" s="14">
        <f t="shared" si="11"/>
        <v>46204.416666666664</v>
      </c>
      <c r="C88" s="15">
        <f t="shared" si="12"/>
        <v>46204.416666666664</v>
      </c>
      <c r="D88" s="2" t="s">
        <v>230</v>
      </c>
      <c r="E88" s="17" t="str">
        <f>IF(MIN($V$81:$V$84)=3,L142,"")</f>
        <v/>
      </c>
      <c r="F88" s="13"/>
      <c r="G88" s="13"/>
      <c r="H88" s="17" t="str">
        <f>IF(MIN($V$4:$V$7,$V$11:$V$14,$V$18:$V$21,$V$25:$V$28,$V$32:$V$35,$V$39:$V$42,$V$46:$V$49,$V$53:$V$56,$V$60:$V$63,$V$67:$V$70,$V$74:$V$77,$V$81:$V$84)=3,IFERROR(INDEX($C$152:$C$163,MATCH(INDEX($AS$2:$AS$496,MATCH($AX$2,$AO$2:$AO$496,0)),$B$152:$B$163,0)),"3EHIJK"),"")</f>
        <v/>
      </c>
      <c r="I88" s="2">
        <v>80</v>
      </c>
      <c r="J88" s="2" t="s">
        <v>134</v>
      </c>
      <c r="K88" s="13"/>
      <c r="L88" s="13"/>
      <c r="M88" s="17" t="str">
        <f t="shared" si="14"/>
        <v/>
      </c>
      <c r="N88" s="10">
        <f t="shared" si="13"/>
        <v>46204.416666666664</v>
      </c>
      <c r="O88" s="2"/>
      <c r="P88" s="16">
        <v>46204.5</v>
      </c>
      <c r="AO88" s="11" t="s">
        <v>238</v>
      </c>
      <c r="AP88" s="11" t="s">
        <v>28</v>
      </c>
      <c r="AQ88" s="11" t="s">
        <v>32</v>
      </c>
      <c r="AR88" s="11" t="s">
        <v>36</v>
      </c>
      <c r="AS88" s="11" t="s">
        <v>55</v>
      </c>
      <c r="AT88" s="11" t="s">
        <v>46</v>
      </c>
      <c r="AU88" s="11" t="s">
        <v>34</v>
      </c>
      <c r="AV88" s="11" t="s">
        <v>35</v>
      </c>
      <c r="AW88" s="11" t="s">
        <v>50</v>
      </c>
    </row>
    <row r="89" spans="1:49" x14ac:dyDescent="0.25">
      <c r="A89" s="2" t="str">
        <f t="shared" si="10"/>
        <v>miércoles</v>
      </c>
      <c r="B89" s="14">
        <f t="shared" si="11"/>
        <v>46204.583333333321</v>
      </c>
      <c r="C89" s="15">
        <f t="shared" si="12"/>
        <v>46204.583333333321</v>
      </c>
      <c r="D89" s="2" t="s">
        <v>230</v>
      </c>
      <c r="E89" s="17" t="str">
        <f>IF(MIN($V$46:$V$49)=3,B134,"")</f>
        <v/>
      </c>
      <c r="F89" s="13"/>
      <c r="G89" s="13"/>
      <c r="H89" s="17" t="str">
        <f>IF(MIN($V$4:$V$7,$V$11:$V$14,$V$18:$V$21,$V$25:$V$28,$V$32:$V$35,$V$39:$V$42,$V$46:$V$49,$V$53:$V$56,$V$60:$V$63,$V$67:$V$70,$V$74:$V$77,$V$81:$V$84)=3,IFERROR(INDEX($C$152:$C$163,MATCH(INDEX($AT$2:$AT$496,MATCH($AX$2,$AO$2:$AO$496,0)),$B$152:$B$163,0)),"3AEHIJ"),"")</f>
        <v/>
      </c>
      <c r="I89" s="2">
        <v>82</v>
      </c>
      <c r="J89" s="2" t="s">
        <v>139</v>
      </c>
      <c r="K89" s="13"/>
      <c r="L89" s="13"/>
      <c r="M89" s="17" t="str">
        <f t="shared" si="14"/>
        <v/>
      </c>
      <c r="N89" s="10">
        <f t="shared" si="13"/>
        <v>46204.583333333321</v>
      </c>
      <c r="O89" s="2"/>
      <c r="P89" s="16">
        <v>46204.666666666657</v>
      </c>
      <c r="AO89" s="11" t="s">
        <v>239</v>
      </c>
      <c r="AP89" s="11" t="s">
        <v>28</v>
      </c>
      <c r="AQ89" s="11" t="s">
        <v>32</v>
      </c>
      <c r="AR89" s="11" t="s">
        <v>36</v>
      </c>
      <c r="AS89" s="11" t="s">
        <v>46</v>
      </c>
      <c r="AT89" s="11" t="s">
        <v>50</v>
      </c>
      <c r="AU89" s="11" t="s">
        <v>34</v>
      </c>
      <c r="AV89" s="11" t="s">
        <v>35</v>
      </c>
      <c r="AW89" s="11" t="s">
        <v>60</v>
      </c>
    </row>
    <row r="90" spans="1:49" x14ac:dyDescent="0.25">
      <c r="A90" s="2" t="str">
        <f t="shared" si="10"/>
        <v>miércoles</v>
      </c>
      <c r="B90" s="14">
        <f t="shared" si="11"/>
        <v>46204.750000000007</v>
      </c>
      <c r="C90" s="15">
        <f t="shared" si="12"/>
        <v>46204.750000000007</v>
      </c>
      <c r="D90" s="2" t="s">
        <v>230</v>
      </c>
      <c r="E90" s="17" t="str">
        <f>IF(MIN($V$25:$V$28)=3,B126,"")</f>
        <v/>
      </c>
      <c r="F90" s="13"/>
      <c r="G90" s="13"/>
      <c r="H90" s="17" t="str">
        <f>IF(MIN($V$4:$V$7,$V$11:$V$14,$V$18:$V$21,$V$25:$V$28,$V$32:$V$35,$V$39:$V$42,$V$46:$V$49,$V$53:$V$56,$V$60:$V$63,$V$67:$V$70,$V$74:$V$77,$V$81:$V$84)=3,IFERROR(INDEX($C$152:$C$163,MATCH(INDEX($AU$2:$AU$496,MATCH($AX$2,$AO$2:$AO$496,0)),$B$152:$B$163,0)),"3BEFIJ"),"")</f>
        <v/>
      </c>
      <c r="I90" s="2">
        <v>81</v>
      </c>
      <c r="J90" s="2" t="s">
        <v>101</v>
      </c>
      <c r="K90" s="13"/>
      <c r="L90" s="13"/>
      <c r="M90" s="17" t="str">
        <f t="shared" si="14"/>
        <v/>
      </c>
      <c r="N90" s="10">
        <f t="shared" si="13"/>
        <v>46204.750000000007</v>
      </c>
      <c r="O90" s="2"/>
      <c r="P90" s="16">
        <v>46204.833333333343</v>
      </c>
      <c r="AO90" s="11" t="s">
        <v>240</v>
      </c>
      <c r="AP90" s="11" t="s">
        <v>28</v>
      </c>
      <c r="AQ90" s="11" t="s">
        <v>32</v>
      </c>
      <c r="AR90" s="11" t="s">
        <v>36</v>
      </c>
      <c r="AS90" s="11" t="s">
        <v>55</v>
      </c>
      <c r="AT90" s="11" t="s">
        <v>46</v>
      </c>
      <c r="AU90" s="11" t="s">
        <v>34</v>
      </c>
      <c r="AV90" s="11" t="s">
        <v>35</v>
      </c>
      <c r="AW90" s="11" t="s">
        <v>60</v>
      </c>
    </row>
    <row r="91" spans="1:49" x14ac:dyDescent="0.25">
      <c r="A91" s="2" t="str">
        <f t="shared" si="10"/>
        <v>jueves</v>
      </c>
      <c r="B91" s="14">
        <f t="shared" si="11"/>
        <v>46205.541666666664</v>
      </c>
      <c r="C91" s="15">
        <f t="shared" si="12"/>
        <v>46205.541666666664</v>
      </c>
      <c r="D91" s="2" t="s">
        <v>230</v>
      </c>
      <c r="E91" s="17" t="str">
        <f>IF(MIN($V$53:$V$56)=3,G134,"")</f>
        <v/>
      </c>
      <c r="F91" s="13"/>
      <c r="G91" s="13"/>
      <c r="H91" s="17" t="str">
        <f>IF(MIN($V$67:$V$70)=3,B143,"")</f>
        <v/>
      </c>
      <c r="I91" s="2">
        <v>84</v>
      </c>
      <c r="J91" s="2" t="s">
        <v>192</v>
      </c>
      <c r="K91" s="13"/>
      <c r="L91" s="13"/>
      <c r="M91" s="17" t="str">
        <f t="shared" si="14"/>
        <v/>
      </c>
      <c r="N91" s="10">
        <f t="shared" si="13"/>
        <v>46205.541666666664</v>
      </c>
      <c r="O91" s="2"/>
      <c r="P91" s="16">
        <v>46205.625</v>
      </c>
      <c r="AO91" s="11" t="s">
        <v>241</v>
      </c>
      <c r="AP91" s="11" t="s">
        <v>28</v>
      </c>
      <c r="AQ91" s="11" t="s">
        <v>32</v>
      </c>
      <c r="AR91" s="11" t="s">
        <v>36</v>
      </c>
      <c r="AS91" s="11" t="s">
        <v>55</v>
      </c>
      <c r="AT91" s="11" t="s">
        <v>50</v>
      </c>
      <c r="AU91" s="11" t="s">
        <v>34</v>
      </c>
      <c r="AV91" s="11" t="s">
        <v>35</v>
      </c>
      <c r="AW91" s="11" t="s">
        <v>60</v>
      </c>
    </row>
    <row r="92" spans="1:49" x14ac:dyDescent="0.25">
      <c r="A92" s="2" t="str">
        <f t="shared" si="10"/>
        <v>jueves</v>
      </c>
      <c r="B92" s="14">
        <f t="shared" si="11"/>
        <v>46205.708333333321</v>
      </c>
      <c r="C92" s="15">
        <f t="shared" si="12"/>
        <v>46205.708333333321</v>
      </c>
      <c r="D92" s="2" t="s">
        <v>230</v>
      </c>
      <c r="E92" s="17" t="str">
        <f>IF(MIN($V$74:$V$77)=3,G143,"")</f>
        <v/>
      </c>
      <c r="F92" s="13"/>
      <c r="G92" s="13"/>
      <c r="H92" s="17" t="str">
        <f>IF(MIN($V$81:$V$84)=3,L143,"")</f>
        <v/>
      </c>
      <c r="I92" s="2">
        <v>83</v>
      </c>
      <c r="J92" s="2" t="s">
        <v>92</v>
      </c>
      <c r="K92" s="13"/>
      <c r="L92" s="13"/>
      <c r="M92" s="17" t="str">
        <f t="shared" si="14"/>
        <v/>
      </c>
      <c r="N92" s="10">
        <f t="shared" si="13"/>
        <v>46205.708333333321</v>
      </c>
      <c r="O92" s="2"/>
      <c r="P92" s="16">
        <v>46205.791666666657</v>
      </c>
      <c r="AO92" s="11" t="s">
        <v>242</v>
      </c>
      <c r="AP92" s="11" t="s">
        <v>28</v>
      </c>
      <c r="AQ92" s="11" t="s">
        <v>31</v>
      </c>
      <c r="AR92" s="11" t="s">
        <v>32</v>
      </c>
      <c r="AS92" s="11" t="s">
        <v>36</v>
      </c>
      <c r="AT92" s="11" t="s">
        <v>33</v>
      </c>
      <c r="AU92" s="11" t="s">
        <v>34</v>
      </c>
      <c r="AV92" s="11" t="s">
        <v>50</v>
      </c>
      <c r="AW92" s="11" t="s">
        <v>46</v>
      </c>
    </row>
    <row r="93" spans="1:49" x14ac:dyDescent="0.25">
      <c r="A93" s="2" t="str">
        <f t="shared" si="10"/>
        <v>jueves</v>
      </c>
      <c r="B93" s="14">
        <f t="shared" si="11"/>
        <v>46205.875000000007</v>
      </c>
      <c r="C93" s="15">
        <f t="shared" si="12"/>
        <v>46205.875000000007</v>
      </c>
      <c r="D93" s="2" t="s">
        <v>230</v>
      </c>
      <c r="E93" s="17" t="str">
        <f>IF(MIN($V$11:$V$14)=3,G118,"")</f>
        <v/>
      </c>
      <c r="F93" s="13"/>
      <c r="G93" s="13"/>
      <c r="H93" s="17" t="str">
        <f>IF(MIN($V$4:$V$7,$V$11:$V$14,$V$18:$V$21,$V$25:$V$28,$V$32:$V$35,$V$39:$V$42,$V$46:$V$49,$V$53:$V$56,$V$60:$V$63,$V$67:$V$70,$V$74:$V$77,$V$81:$V$84)=3,IFERROR(INDEX($C$152:$C$163,MATCH(INDEX($AV$2:$AV$496,MATCH($AX$2,$AO$2:$AO$496,0)),$B$152:$B$163,0)),"3EFGIJ"),"")</f>
        <v/>
      </c>
      <c r="I93" s="2">
        <v>85</v>
      </c>
      <c r="J93" s="2" t="s">
        <v>113</v>
      </c>
      <c r="K93" s="13"/>
      <c r="L93" s="13"/>
      <c r="M93" s="17" t="str">
        <f t="shared" si="14"/>
        <v/>
      </c>
      <c r="N93" s="10">
        <f t="shared" si="13"/>
        <v>46205.875000000007</v>
      </c>
      <c r="O93" s="2"/>
      <c r="P93" s="16">
        <v>46205.958333333343</v>
      </c>
      <c r="AO93" s="11" t="s">
        <v>243</v>
      </c>
      <c r="AP93" s="11" t="s">
        <v>28</v>
      </c>
      <c r="AQ93" s="11" t="s">
        <v>31</v>
      </c>
      <c r="AR93" s="11" t="s">
        <v>32</v>
      </c>
      <c r="AS93" s="11" t="s">
        <v>55</v>
      </c>
      <c r="AT93" s="11" t="s">
        <v>33</v>
      </c>
      <c r="AU93" s="11" t="s">
        <v>34</v>
      </c>
      <c r="AV93" s="11" t="s">
        <v>36</v>
      </c>
      <c r="AW93" s="11" t="s">
        <v>46</v>
      </c>
    </row>
    <row r="94" spans="1:49" x14ac:dyDescent="0.25">
      <c r="A94" s="2" t="str">
        <f t="shared" si="10"/>
        <v>viernes</v>
      </c>
      <c r="B94" s="14">
        <f t="shared" si="11"/>
        <v>46206.500000000007</v>
      </c>
      <c r="C94" s="15">
        <f t="shared" si="12"/>
        <v>46206.500000000007</v>
      </c>
      <c r="D94" s="2" t="s">
        <v>230</v>
      </c>
      <c r="E94" s="17" t="str">
        <f>IF(MIN($V$25:$V$28)=3,B127,"")</f>
        <v/>
      </c>
      <c r="F94" s="13"/>
      <c r="G94" s="13"/>
      <c r="H94" s="17" t="str">
        <f>IF(MIN($V$46:$V$49)=3,B135,"")</f>
        <v/>
      </c>
      <c r="I94" s="2">
        <v>88</v>
      </c>
      <c r="J94" s="2" t="s">
        <v>123</v>
      </c>
      <c r="K94" s="13"/>
      <c r="L94" s="13"/>
      <c r="M94" s="17" t="str">
        <f t="shared" si="14"/>
        <v/>
      </c>
      <c r="N94" s="10">
        <f t="shared" si="13"/>
        <v>46206.500000000007</v>
      </c>
      <c r="O94" s="2"/>
      <c r="P94" s="16">
        <v>46206.583333333343</v>
      </c>
      <c r="AO94" s="11" t="s">
        <v>244</v>
      </c>
      <c r="AP94" s="11" t="s">
        <v>28</v>
      </c>
      <c r="AQ94" s="11" t="s">
        <v>31</v>
      </c>
      <c r="AR94" s="11" t="s">
        <v>32</v>
      </c>
      <c r="AS94" s="11" t="s">
        <v>36</v>
      </c>
      <c r="AT94" s="11" t="s">
        <v>33</v>
      </c>
      <c r="AU94" s="11" t="s">
        <v>34</v>
      </c>
      <c r="AV94" s="11" t="s">
        <v>46</v>
      </c>
      <c r="AW94" s="11" t="s">
        <v>60</v>
      </c>
    </row>
    <row r="95" spans="1:49" x14ac:dyDescent="0.25">
      <c r="A95" s="2" t="str">
        <f t="shared" si="10"/>
        <v>viernes</v>
      </c>
      <c r="B95" s="14">
        <f t="shared" si="11"/>
        <v>46206.666666666664</v>
      </c>
      <c r="C95" s="15">
        <f t="shared" si="12"/>
        <v>46206.666666666664</v>
      </c>
      <c r="D95" s="2" t="s">
        <v>230</v>
      </c>
      <c r="E95" s="17" t="str">
        <f>IF(MIN($V$67:$V$70)=3,B142,"")</f>
        <v/>
      </c>
      <c r="F95" s="13"/>
      <c r="G95" s="13"/>
      <c r="H95" s="17" t="str">
        <f>IF(MIN($V$53:$V$56)=3,G135,"")</f>
        <v/>
      </c>
      <c r="I95" s="2">
        <v>86</v>
      </c>
      <c r="J95" s="2" t="s">
        <v>143</v>
      </c>
      <c r="K95" s="13"/>
      <c r="L95" s="13"/>
      <c r="M95" s="17" t="str">
        <f t="shared" si="14"/>
        <v/>
      </c>
      <c r="N95" s="10">
        <f t="shared" si="13"/>
        <v>46206.666666666664</v>
      </c>
      <c r="O95" s="2"/>
      <c r="P95" s="16">
        <v>46206.75</v>
      </c>
      <c r="AO95" s="11" t="s">
        <v>245</v>
      </c>
      <c r="AP95" s="11" t="s">
        <v>28</v>
      </c>
      <c r="AQ95" s="11" t="s">
        <v>31</v>
      </c>
      <c r="AR95" s="11" t="s">
        <v>32</v>
      </c>
      <c r="AS95" s="11" t="s">
        <v>55</v>
      </c>
      <c r="AT95" s="11" t="s">
        <v>33</v>
      </c>
      <c r="AU95" s="11" t="s">
        <v>34</v>
      </c>
      <c r="AV95" s="11" t="s">
        <v>50</v>
      </c>
      <c r="AW95" s="11" t="s">
        <v>36</v>
      </c>
    </row>
    <row r="96" spans="1:49" x14ac:dyDescent="0.25">
      <c r="A96" s="2" t="str">
        <f t="shared" si="10"/>
        <v>viernes</v>
      </c>
      <c r="B96" s="14">
        <f t="shared" si="11"/>
        <v>46206.812500000007</v>
      </c>
      <c r="C96" s="15">
        <f t="shared" si="12"/>
        <v>46206.812500000007</v>
      </c>
      <c r="D96" s="2" t="s">
        <v>230</v>
      </c>
      <c r="E96" s="17" t="str">
        <f>IF(MIN($V$74:$V$77)=3,G142,"")</f>
        <v/>
      </c>
      <c r="F96" s="13"/>
      <c r="G96" s="13"/>
      <c r="H96" s="17" t="str">
        <f>IF(MIN($V$4:$V$7,$V$11:$V$14,$V$18:$V$21,$V$25:$V$28,$V$32:$V$35,$V$39:$V$42,$V$46:$V$49,$V$53:$V$56,$V$60:$V$63,$V$67:$V$70,$V$74:$V$77,$V$81:$V$84)=3,IFERROR(INDEX($C$152:$C$163,MATCH(INDEX($AW$2:$AW$496,MATCH($AX$2,$AO$2:$AO$496,0)),$B$152:$B$163,0)),"3DEIJL"),"")</f>
        <v/>
      </c>
      <c r="I96" s="2">
        <v>87</v>
      </c>
      <c r="J96" s="2" t="s">
        <v>161</v>
      </c>
      <c r="K96" s="13"/>
      <c r="L96" s="13"/>
      <c r="M96" s="17" t="str">
        <f t="shared" si="14"/>
        <v/>
      </c>
      <c r="N96" s="10">
        <f t="shared" si="13"/>
        <v>46206.812500000007</v>
      </c>
      <c r="O96" s="2"/>
      <c r="P96" s="16">
        <v>46206.895833333343</v>
      </c>
      <c r="AO96" s="11" t="s">
        <v>246</v>
      </c>
      <c r="AP96" s="11" t="s">
        <v>28</v>
      </c>
      <c r="AQ96" s="11" t="s">
        <v>31</v>
      </c>
      <c r="AR96" s="11" t="s">
        <v>32</v>
      </c>
      <c r="AS96" s="11" t="s">
        <v>36</v>
      </c>
      <c r="AT96" s="11" t="s">
        <v>33</v>
      </c>
      <c r="AU96" s="11" t="s">
        <v>34</v>
      </c>
      <c r="AV96" s="11" t="s">
        <v>50</v>
      </c>
      <c r="AW96" s="11" t="s">
        <v>60</v>
      </c>
    </row>
    <row r="97" spans="1:49" x14ac:dyDescent="0.25">
      <c r="A97" s="2" t="str">
        <f t="shared" si="10"/>
        <v>sábado</v>
      </c>
      <c r="B97" s="14">
        <f t="shared" si="11"/>
        <v>46207.458333333321</v>
      </c>
      <c r="C97" s="15">
        <f t="shared" si="12"/>
        <v>46207.458333333321</v>
      </c>
      <c r="D97" s="2" t="s">
        <v>247</v>
      </c>
      <c r="E97" s="17" t="str">
        <f t="array" ref="E97">IFERROR(_xlfn.XLOOKUP(73,$I$9:$I$96,$M$9:$M$96),"W73")</f>
        <v/>
      </c>
      <c r="F97" s="13"/>
      <c r="G97" s="13"/>
      <c r="H97" s="17" t="str">
        <f t="array" ref="H97">IFERROR(_xlfn.XLOOKUP(75,$I$9:$I$96,$M$9:$M$96),"W75")</f>
        <v/>
      </c>
      <c r="I97" s="2">
        <v>90</v>
      </c>
      <c r="J97" s="2" t="s">
        <v>119</v>
      </c>
      <c r="K97" s="13"/>
      <c r="L97" s="13"/>
      <c r="M97" s="17" t="str">
        <f t="shared" si="14"/>
        <v/>
      </c>
      <c r="N97" s="10">
        <f t="shared" si="13"/>
        <v>46207.458333333321</v>
      </c>
      <c r="O97" s="2"/>
      <c r="P97" s="16">
        <v>46207.541666666657</v>
      </c>
      <c r="AO97" s="11" t="s">
        <v>248</v>
      </c>
      <c r="AP97" s="11" t="s">
        <v>28</v>
      </c>
      <c r="AQ97" s="11" t="s">
        <v>31</v>
      </c>
      <c r="AR97" s="11" t="s">
        <v>32</v>
      </c>
      <c r="AS97" s="11" t="s">
        <v>55</v>
      </c>
      <c r="AT97" s="11" t="s">
        <v>33</v>
      </c>
      <c r="AU97" s="11" t="s">
        <v>34</v>
      </c>
      <c r="AV97" s="11" t="s">
        <v>36</v>
      </c>
      <c r="AW97" s="11" t="s">
        <v>60</v>
      </c>
    </row>
    <row r="98" spans="1:49" x14ac:dyDescent="0.25">
      <c r="A98" s="2" t="str">
        <f t="shared" si="10"/>
        <v>sábado</v>
      </c>
      <c r="B98" s="14">
        <f t="shared" si="11"/>
        <v>46207.625000000007</v>
      </c>
      <c r="C98" s="15">
        <f t="shared" si="12"/>
        <v>46207.625000000007</v>
      </c>
      <c r="D98" s="2" t="s">
        <v>247</v>
      </c>
      <c r="E98" s="17" t="str">
        <f t="array" ref="E98">IFERROR(_xlfn.XLOOKUP(74,$I$9:$I$97,$M$9:$M$97),"W74")</f>
        <v/>
      </c>
      <c r="F98" s="13"/>
      <c r="G98" s="13"/>
      <c r="H98" s="17" t="str">
        <f t="array" ref="H98">IFERROR(_xlfn.XLOOKUP(77,$I$9:$I$97,$M$9:$M$97),"W77")</f>
        <v/>
      </c>
      <c r="I98" s="2">
        <v>89</v>
      </c>
      <c r="J98" s="2" t="s">
        <v>126</v>
      </c>
      <c r="K98" s="13"/>
      <c r="L98" s="13"/>
      <c r="M98" s="17" t="str">
        <f t="shared" si="14"/>
        <v/>
      </c>
      <c r="N98" s="10">
        <f t="shared" si="13"/>
        <v>46207.625000000007</v>
      </c>
      <c r="O98" s="2"/>
      <c r="P98" s="16">
        <v>46207.708333333343</v>
      </c>
      <c r="AO98" s="11" t="s">
        <v>249</v>
      </c>
      <c r="AP98" s="11" t="s">
        <v>28</v>
      </c>
      <c r="AQ98" s="11" t="s">
        <v>31</v>
      </c>
      <c r="AR98" s="11" t="s">
        <v>32</v>
      </c>
      <c r="AS98" s="11" t="s">
        <v>55</v>
      </c>
      <c r="AT98" s="11" t="s">
        <v>36</v>
      </c>
      <c r="AU98" s="11" t="s">
        <v>34</v>
      </c>
      <c r="AV98" s="11" t="s">
        <v>50</v>
      </c>
      <c r="AW98" s="11" t="s">
        <v>46</v>
      </c>
    </row>
    <row r="99" spans="1:49" x14ac:dyDescent="0.25">
      <c r="A99" s="2" t="str">
        <f t="shared" si="10"/>
        <v>domingo</v>
      </c>
      <c r="B99" s="14">
        <f t="shared" si="11"/>
        <v>46208.583333333321</v>
      </c>
      <c r="C99" s="15">
        <f t="shared" si="12"/>
        <v>46208.583333333321</v>
      </c>
      <c r="D99" s="2" t="s">
        <v>247</v>
      </c>
      <c r="E99" s="17" t="str">
        <f t="array" ref="E99">IFERROR(_xlfn.XLOOKUP(76,$I$9:$I$98,$M$9:$M$98),"W76")</f>
        <v/>
      </c>
      <c r="F99" s="13"/>
      <c r="G99" s="13"/>
      <c r="H99" s="17" t="str">
        <f t="array" ref="H99">IFERROR(_xlfn.XLOOKUP(78,$I$9:$I$98,$M$9:$M$98),"W78")</f>
        <v/>
      </c>
      <c r="I99" s="2">
        <v>91</v>
      </c>
      <c r="J99" s="2" t="s">
        <v>105</v>
      </c>
      <c r="K99" s="13"/>
      <c r="L99" s="13"/>
      <c r="M99" s="17" t="str">
        <f t="shared" si="14"/>
        <v/>
      </c>
      <c r="N99" s="10">
        <f t="shared" si="13"/>
        <v>46208.583333333321</v>
      </c>
      <c r="O99" s="2"/>
      <c r="P99" s="16">
        <v>46208.666666666657</v>
      </c>
      <c r="AO99" s="11" t="s">
        <v>250</v>
      </c>
      <c r="AP99" s="11" t="s">
        <v>28</v>
      </c>
      <c r="AQ99" s="11" t="s">
        <v>31</v>
      </c>
      <c r="AR99" s="11" t="s">
        <v>32</v>
      </c>
      <c r="AS99" s="11" t="s">
        <v>36</v>
      </c>
      <c r="AT99" s="11" t="s">
        <v>46</v>
      </c>
      <c r="AU99" s="11" t="s">
        <v>34</v>
      </c>
      <c r="AV99" s="11" t="s">
        <v>50</v>
      </c>
      <c r="AW99" s="11" t="s">
        <v>60</v>
      </c>
    </row>
    <row r="100" spans="1:49" x14ac:dyDescent="0.25">
      <c r="A100" s="2" t="str">
        <f t="shared" si="10"/>
        <v>domingo</v>
      </c>
      <c r="B100" s="14">
        <f t="shared" si="11"/>
        <v>46208.750000000007</v>
      </c>
      <c r="C100" s="15">
        <f t="shared" si="12"/>
        <v>46208.750000000007</v>
      </c>
      <c r="D100" s="2" t="s">
        <v>247</v>
      </c>
      <c r="E100" s="17" t="str">
        <f t="array" ref="E100">IFERROR(_xlfn.XLOOKUP(79,$I$9:$I$99,$M$9:$M$99),"W79")</f>
        <v/>
      </c>
      <c r="F100" s="13"/>
      <c r="G100" s="13"/>
      <c r="H100" s="17" t="str">
        <f t="array" ref="H100">IFERROR(_xlfn.XLOOKUP(80,$I$9:$I$99,$M$9:$M$99),"W80")</f>
        <v/>
      </c>
      <c r="I100" s="2">
        <v>92</v>
      </c>
      <c r="J100" s="2" t="s">
        <v>83</v>
      </c>
      <c r="K100" s="13"/>
      <c r="L100" s="13"/>
      <c r="M100" s="17" t="str">
        <f t="shared" si="14"/>
        <v/>
      </c>
      <c r="N100" s="10">
        <f t="shared" si="13"/>
        <v>46208.750000000007</v>
      </c>
      <c r="O100" s="2"/>
      <c r="P100" s="16">
        <v>46208.833333333343</v>
      </c>
      <c r="AO100" s="11" t="s">
        <v>251</v>
      </c>
      <c r="AP100" s="11" t="s">
        <v>28</v>
      </c>
      <c r="AQ100" s="11" t="s">
        <v>31</v>
      </c>
      <c r="AR100" s="11" t="s">
        <v>32</v>
      </c>
      <c r="AS100" s="11" t="s">
        <v>55</v>
      </c>
      <c r="AT100" s="11" t="s">
        <v>36</v>
      </c>
      <c r="AU100" s="11" t="s">
        <v>34</v>
      </c>
      <c r="AV100" s="11" t="s">
        <v>46</v>
      </c>
      <c r="AW100" s="11" t="s">
        <v>60</v>
      </c>
    </row>
    <row r="101" spans="1:49" x14ac:dyDescent="0.25">
      <c r="A101" s="2" t="str">
        <f t="shared" si="10"/>
        <v>lunes</v>
      </c>
      <c r="B101" s="14">
        <f t="shared" si="11"/>
        <v>46209.541666666664</v>
      </c>
      <c r="C101" s="15">
        <f t="shared" si="12"/>
        <v>46209.541666666664</v>
      </c>
      <c r="D101" s="2" t="s">
        <v>247</v>
      </c>
      <c r="E101" s="17" t="str">
        <f t="array" ref="E101">IFERROR(_xlfn.XLOOKUP(83,$I$9:$I$100,$M$9:$M$100),"W83")</f>
        <v/>
      </c>
      <c r="F101" s="13"/>
      <c r="G101" s="13"/>
      <c r="H101" s="17" t="str">
        <f t="array" ref="H101">IFERROR(_xlfn.XLOOKUP(84,$I$9:$I$100,$M$9:$M$100),"W84")</f>
        <v/>
      </c>
      <c r="I101" s="2">
        <v>93</v>
      </c>
      <c r="J101" s="2" t="s">
        <v>123</v>
      </c>
      <c r="K101" s="13"/>
      <c r="L101" s="13"/>
      <c r="M101" s="17" t="str">
        <f t="shared" si="14"/>
        <v/>
      </c>
      <c r="N101" s="10">
        <f t="shared" si="13"/>
        <v>46209.541666666664</v>
      </c>
      <c r="O101" s="2"/>
      <c r="P101" s="16">
        <v>46209.625</v>
      </c>
      <c r="AO101" s="11" t="s">
        <v>252</v>
      </c>
      <c r="AP101" s="11" t="s">
        <v>28</v>
      </c>
      <c r="AQ101" s="11" t="s">
        <v>31</v>
      </c>
      <c r="AR101" s="11" t="s">
        <v>32</v>
      </c>
      <c r="AS101" s="11" t="s">
        <v>55</v>
      </c>
      <c r="AT101" s="11" t="s">
        <v>36</v>
      </c>
      <c r="AU101" s="11" t="s">
        <v>34</v>
      </c>
      <c r="AV101" s="11" t="s">
        <v>50</v>
      </c>
      <c r="AW101" s="11" t="s">
        <v>60</v>
      </c>
    </row>
    <row r="102" spans="1:49" x14ac:dyDescent="0.25">
      <c r="A102" s="2" t="str">
        <f t="shared" si="10"/>
        <v>lunes</v>
      </c>
      <c r="B102" s="14">
        <f t="shared" si="11"/>
        <v>46209.750000000007</v>
      </c>
      <c r="C102" s="15">
        <f t="shared" si="12"/>
        <v>46209.750000000007</v>
      </c>
      <c r="D102" s="2" t="s">
        <v>247</v>
      </c>
      <c r="E102" s="17" t="str">
        <f t="array" ref="E102">IFERROR(_xlfn.XLOOKUP(81,$I$9:$I$101,$M$9:$M$101),"W81")</f>
        <v/>
      </c>
      <c r="F102" s="13"/>
      <c r="G102" s="13"/>
      <c r="H102" s="17" t="str">
        <f t="array" ref="H102">IFERROR(_xlfn.XLOOKUP(82,$I$9:$I$101,$M$9:$M$101),"W82")</f>
        <v/>
      </c>
      <c r="I102" s="2">
        <v>94</v>
      </c>
      <c r="J102" s="2" t="s">
        <v>139</v>
      </c>
      <c r="K102" s="13"/>
      <c r="L102" s="13"/>
      <c r="M102" s="17" t="str">
        <f t="shared" si="14"/>
        <v/>
      </c>
      <c r="N102" s="10">
        <f t="shared" si="13"/>
        <v>46209.750000000007</v>
      </c>
      <c r="O102" s="2"/>
      <c r="P102" s="16">
        <v>46209.833333333343</v>
      </c>
      <c r="AO102" s="11" t="s">
        <v>253</v>
      </c>
      <c r="AP102" s="11" t="s">
        <v>28</v>
      </c>
      <c r="AQ102" s="11" t="s">
        <v>32</v>
      </c>
      <c r="AR102" s="11" t="s">
        <v>36</v>
      </c>
      <c r="AS102" s="11" t="s">
        <v>55</v>
      </c>
      <c r="AT102" s="11" t="s">
        <v>33</v>
      </c>
      <c r="AU102" s="11" t="s">
        <v>34</v>
      </c>
      <c r="AV102" s="11" t="s">
        <v>50</v>
      </c>
      <c r="AW102" s="11" t="s">
        <v>46</v>
      </c>
    </row>
    <row r="103" spans="1:49" x14ac:dyDescent="0.25">
      <c r="A103" s="2" t="str">
        <f t="shared" si="10"/>
        <v>martes</v>
      </c>
      <c r="B103" s="14">
        <f t="shared" si="11"/>
        <v>46210.416666666664</v>
      </c>
      <c r="C103" s="15">
        <f t="shared" si="12"/>
        <v>46210.416666666664</v>
      </c>
      <c r="D103" s="2" t="s">
        <v>247</v>
      </c>
      <c r="E103" s="17" t="str">
        <f t="array" ref="E103">IFERROR(_xlfn.XLOOKUP(86,$I$9:$I$102,$M$9:$M$102),"W86")</f>
        <v/>
      </c>
      <c r="F103" s="13"/>
      <c r="G103" s="13"/>
      <c r="H103" s="17" t="str">
        <f t="array" ref="H103">IFERROR(_xlfn.XLOOKUP(88,$I$9:$I$102,$M$9:$M$102),"W88")</f>
        <v/>
      </c>
      <c r="I103" s="2">
        <v>95</v>
      </c>
      <c r="J103" s="2" t="s">
        <v>134</v>
      </c>
      <c r="K103" s="13"/>
      <c r="L103" s="13"/>
      <c r="M103" s="17" t="str">
        <f t="shared" si="14"/>
        <v/>
      </c>
      <c r="N103" s="10">
        <f t="shared" si="13"/>
        <v>46210.416666666664</v>
      </c>
      <c r="O103" s="2"/>
      <c r="P103" s="16">
        <v>46210.5</v>
      </c>
      <c r="AO103" s="11" t="s">
        <v>254</v>
      </c>
      <c r="AP103" s="11" t="s">
        <v>28</v>
      </c>
      <c r="AQ103" s="11" t="s">
        <v>32</v>
      </c>
      <c r="AR103" s="11" t="s">
        <v>36</v>
      </c>
      <c r="AS103" s="11" t="s">
        <v>33</v>
      </c>
      <c r="AT103" s="11" t="s">
        <v>46</v>
      </c>
      <c r="AU103" s="11" t="s">
        <v>34</v>
      </c>
      <c r="AV103" s="11" t="s">
        <v>50</v>
      </c>
      <c r="AW103" s="11" t="s">
        <v>60</v>
      </c>
    </row>
    <row r="104" spans="1:49" x14ac:dyDescent="0.25">
      <c r="A104" s="2" t="str">
        <f t="shared" si="10"/>
        <v>martes</v>
      </c>
      <c r="B104" s="14">
        <f t="shared" si="11"/>
        <v>46210.583333333321</v>
      </c>
      <c r="C104" s="15">
        <f t="shared" si="12"/>
        <v>46210.583333333321</v>
      </c>
      <c r="D104" s="2" t="s">
        <v>247</v>
      </c>
      <c r="E104" s="17" t="str">
        <f t="array" ref="E104">IFERROR(_xlfn.XLOOKUP(85,$I$9:$I$103,$M$9:$M$103),"W85")</f>
        <v/>
      </c>
      <c r="F104" s="13"/>
      <c r="G104" s="13"/>
      <c r="H104" s="17" t="str">
        <f t="array" ref="H104">IFERROR(_xlfn.XLOOKUP(87,$I$9:$I$103,$M$9:$M$103),"W87")</f>
        <v/>
      </c>
      <c r="I104" s="2">
        <v>96</v>
      </c>
      <c r="J104" s="2" t="s">
        <v>113</v>
      </c>
      <c r="K104" s="13"/>
      <c r="L104" s="13"/>
      <c r="M104" s="17" t="str">
        <f t="shared" si="14"/>
        <v/>
      </c>
      <c r="N104" s="10">
        <f t="shared" si="13"/>
        <v>46210.583333333321</v>
      </c>
      <c r="O104" s="2"/>
      <c r="P104" s="16">
        <v>46210.666666666657</v>
      </c>
      <c r="AO104" s="11" t="s">
        <v>255</v>
      </c>
      <c r="AP104" s="11" t="s">
        <v>28</v>
      </c>
      <c r="AQ104" s="11" t="s">
        <v>32</v>
      </c>
      <c r="AR104" s="11" t="s">
        <v>36</v>
      </c>
      <c r="AS104" s="11" t="s">
        <v>55</v>
      </c>
      <c r="AT104" s="11" t="s">
        <v>33</v>
      </c>
      <c r="AU104" s="11" t="s">
        <v>34</v>
      </c>
      <c r="AV104" s="11" t="s">
        <v>46</v>
      </c>
      <c r="AW104" s="11" t="s">
        <v>60</v>
      </c>
    </row>
    <row r="105" spans="1:49" x14ac:dyDescent="0.25">
      <c r="A105" s="2" t="str">
        <f t="shared" ref="A105:A112" si="15">TEXT(N105,"[$-es-ES]dddd")</f>
        <v>jueves</v>
      </c>
      <c r="B105" s="14">
        <f t="shared" ref="B105:B112" si="16">N105</f>
        <v>46212.583333333321</v>
      </c>
      <c r="C105" s="15">
        <f t="shared" ref="C105:C112" si="17">N105</f>
        <v>46212.583333333321</v>
      </c>
      <c r="D105" s="2" t="s">
        <v>256</v>
      </c>
      <c r="E105" s="17" t="str">
        <f t="array" ref="E105">IFERROR(_xlfn.XLOOKUP(89,$I$9:$I$104,$M$9:$M$104),"W89")</f>
        <v/>
      </c>
      <c r="F105" s="13"/>
      <c r="G105" s="13"/>
      <c r="H105" s="17" t="str">
        <f t="array" ref="H105">IFERROR(_xlfn.XLOOKUP(90,$I$9:$I$104,$M$9:$M$104),"W90")</f>
        <v/>
      </c>
      <c r="I105" s="2">
        <v>97</v>
      </c>
      <c r="J105" s="2" t="s">
        <v>109</v>
      </c>
      <c r="K105" s="13"/>
      <c r="L105" s="13"/>
      <c r="M105" s="17" t="str">
        <f t="shared" si="14"/>
        <v/>
      </c>
      <c r="N105" s="10">
        <f t="shared" ref="N105:N112" si="18">P105+VLOOKUP($B$2,$R$2:$S$8,2,FALSE)/24</f>
        <v>46212.583333333321</v>
      </c>
      <c r="O105" s="2"/>
      <c r="P105" s="16">
        <v>46212.666666666657</v>
      </c>
      <c r="AO105" s="11" t="s">
        <v>257</v>
      </c>
      <c r="AP105" s="11" t="s">
        <v>28</v>
      </c>
      <c r="AQ105" s="11" t="s">
        <v>32</v>
      </c>
      <c r="AR105" s="11" t="s">
        <v>36</v>
      </c>
      <c r="AS105" s="11" t="s">
        <v>55</v>
      </c>
      <c r="AT105" s="11" t="s">
        <v>33</v>
      </c>
      <c r="AU105" s="11" t="s">
        <v>34</v>
      </c>
      <c r="AV105" s="11" t="s">
        <v>50</v>
      </c>
      <c r="AW105" s="11" t="s">
        <v>60</v>
      </c>
    </row>
    <row r="106" spans="1:49" x14ac:dyDescent="0.25">
      <c r="A106" s="2" t="str">
        <f t="shared" si="15"/>
        <v>viernes</v>
      </c>
      <c r="B106" s="14">
        <f t="shared" si="16"/>
        <v>46213.541666666664</v>
      </c>
      <c r="C106" s="15">
        <f t="shared" si="17"/>
        <v>46213.541666666664</v>
      </c>
      <c r="D106" s="2" t="s">
        <v>256</v>
      </c>
      <c r="E106" s="17" t="str">
        <f t="array" ref="E106">IFERROR(_xlfn.XLOOKUP(93,$I$9:$I$105,$M$9:$M$105),"W93")</f>
        <v/>
      </c>
      <c r="F106" s="13"/>
      <c r="G106" s="13"/>
      <c r="H106" s="17" t="str">
        <f t="array" ref="H106">IFERROR(_xlfn.XLOOKUP(94,$I$9:$I$105,$M$9:$M$105),"W94")</f>
        <v/>
      </c>
      <c r="I106" s="2">
        <v>98</v>
      </c>
      <c r="J106" s="2" t="s">
        <v>192</v>
      </c>
      <c r="K106" s="13"/>
      <c r="L106" s="13"/>
      <c r="M106" s="17" t="str">
        <f t="shared" si="14"/>
        <v/>
      </c>
      <c r="N106" s="10">
        <f t="shared" si="18"/>
        <v>46213.541666666664</v>
      </c>
      <c r="O106" s="2"/>
      <c r="P106" s="16">
        <v>46213.625</v>
      </c>
      <c r="AO106" s="11" t="s">
        <v>258</v>
      </c>
      <c r="AP106" s="11" t="s">
        <v>28</v>
      </c>
      <c r="AQ106" s="11" t="s">
        <v>32</v>
      </c>
      <c r="AR106" s="11" t="s">
        <v>36</v>
      </c>
      <c r="AS106" s="11" t="s">
        <v>55</v>
      </c>
      <c r="AT106" s="11" t="s">
        <v>46</v>
      </c>
      <c r="AU106" s="11" t="s">
        <v>34</v>
      </c>
      <c r="AV106" s="11" t="s">
        <v>50</v>
      </c>
      <c r="AW106" s="11" t="s">
        <v>60</v>
      </c>
    </row>
    <row r="107" spans="1:49" x14ac:dyDescent="0.25">
      <c r="A107" s="2" t="str">
        <f t="shared" si="15"/>
        <v>sábado</v>
      </c>
      <c r="B107" s="14">
        <f t="shared" si="16"/>
        <v>46214.625000000007</v>
      </c>
      <c r="C107" s="15">
        <f t="shared" si="17"/>
        <v>46214.625000000007</v>
      </c>
      <c r="D107" s="2" t="s">
        <v>256</v>
      </c>
      <c r="E107" s="17" t="str">
        <f t="array" ref="E107">IFERROR(_xlfn.XLOOKUP(91,$I$9:$I$106,$M$9:$M$106),"W91")</f>
        <v/>
      </c>
      <c r="F107" s="13"/>
      <c r="G107" s="13"/>
      <c r="H107" s="17" t="str">
        <f t="array" ref="H107">IFERROR(_xlfn.XLOOKUP(92,$I$9:$I$106,$M$9:$M$106),"W92")</f>
        <v/>
      </c>
      <c r="I107" s="2">
        <v>99</v>
      </c>
      <c r="J107" s="2" t="s">
        <v>143</v>
      </c>
      <c r="K107" s="13"/>
      <c r="L107" s="13"/>
      <c r="M107" s="17" t="str">
        <f t="shared" si="14"/>
        <v/>
      </c>
      <c r="N107" s="10">
        <f t="shared" si="18"/>
        <v>46214.625000000007</v>
      </c>
      <c r="O107" s="2"/>
      <c r="P107" s="16">
        <v>46214.708333333343</v>
      </c>
      <c r="AO107" s="11" t="s">
        <v>259</v>
      </c>
      <c r="AP107" s="11" t="s">
        <v>28</v>
      </c>
      <c r="AQ107" s="11" t="s">
        <v>31</v>
      </c>
      <c r="AR107" s="11" t="s">
        <v>32</v>
      </c>
      <c r="AS107" s="11" t="s">
        <v>33</v>
      </c>
      <c r="AT107" s="11" t="s">
        <v>46</v>
      </c>
      <c r="AU107" s="11" t="s">
        <v>34</v>
      </c>
      <c r="AV107" s="11" t="s">
        <v>35</v>
      </c>
      <c r="AW107" s="11" t="s">
        <v>50</v>
      </c>
    </row>
    <row r="108" spans="1:49" x14ac:dyDescent="0.25">
      <c r="A108" s="2" t="str">
        <f t="shared" si="15"/>
        <v>sábado</v>
      </c>
      <c r="B108" s="14">
        <f t="shared" si="16"/>
        <v>46214.791666666664</v>
      </c>
      <c r="C108" s="15">
        <f t="shared" si="17"/>
        <v>46214.791666666664</v>
      </c>
      <c r="D108" s="2" t="s">
        <v>256</v>
      </c>
      <c r="E108" s="17" t="str">
        <f t="array" ref="E108">IFERROR(_xlfn.XLOOKUP(95,$I$9:$I$107,$M$9:$M$107),"W95")</f>
        <v/>
      </c>
      <c r="F108" s="13"/>
      <c r="G108" s="13"/>
      <c r="H108" s="17" t="str">
        <f t="array" ref="H108">IFERROR(_xlfn.XLOOKUP(96,$I$9:$I$107,$M$9:$M$107),"W96")</f>
        <v/>
      </c>
      <c r="I108" s="2">
        <v>100</v>
      </c>
      <c r="J108" s="2" t="s">
        <v>161</v>
      </c>
      <c r="K108" s="13"/>
      <c r="L108" s="13"/>
      <c r="M108" s="17" t="str">
        <f t="shared" si="14"/>
        <v/>
      </c>
      <c r="N108" s="10">
        <f t="shared" si="18"/>
        <v>46214.791666666664</v>
      </c>
      <c r="O108" s="2"/>
      <c r="P108" s="16">
        <v>46214.875</v>
      </c>
      <c r="AO108" s="11" t="s">
        <v>260</v>
      </c>
      <c r="AP108" s="11" t="s">
        <v>28</v>
      </c>
      <c r="AQ108" s="11" t="s">
        <v>31</v>
      </c>
      <c r="AR108" s="11" t="s">
        <v>32</v>
      </c>
      <c r="AS108" s="11" t="s">
        <v>55</v>
      </c>
      <c r="AT108" s="11" t="s">
        <v>33</v>
      </c>
      <c r="AU108" s="11" t="s">
        <v>34</v>
      </c>
      <c r="AV108" s="11" t="s">
        <v>35</v>
      </c>
      <c r="AW108" s="11" t="s">
        <v>46</v>
      </c>
    </row>
    <row r="109" spans="1:49" x14ac:dyDescent="0.25">
      <c r="A109" s="2" t="str">
        <f t="shared" si="15"/>
        <v>martes</v>
      </c>
      <c r="B109" s="14">
        <f t="shared" si="16"/>
        <v>46217.541666666664</v>
      </c>
      <c r="C109" s="15">
        <f t="shared" si="17"/>
        <v>46217.541666666664</v>
      </c>
      <c r="D109" s="2" t="s">
        <v>261</v>
      </c>
      <c r="E109" s="17" t="str">
        <f t="array" ref="E109">IFERROR(_xlfn.XLOOKUP(97,$I$9:$I$108,$M$9:$M$108),"W97")</f>
        <v/>
      </c>
      <c r="F109" s="13"/>
      <c r="G109" s="13"/>
      <c r="H109" s="17" t="str">
        <f t="array" ref="H109">IFERROR(_xlfn.XLOOKUP(98,$I$9:$I$108,$M$9:$M$108),"W98")</f>
        <v/>
      </c>
      <c r="I109" s="2">
        <v>101</v>
      </c>
      <c r="J109" s="2" t="s">
        <v>123</v>
      </c>
      <c r="K109" s="13"/>
      <c r="L109" s="13"/>
      <c r="M109" s="17" t="str">
        <f t="shared" si="14"/>
        <v/>
      </c>
      <c r="N109" s="10">
        <f t="shared" si="18"/>
        <v>46217.541666666664</v>
      </c>
      <c r="O109" s="2"/>
      <c r="P109" s="16">
        <v>46217.625</v>
      </c>
      <c r="AO109" s="11" t="s">
        <v>262</v>
      </c>
      <c r="AP109" s="11" t="s">
        <v>28</v>
      </c>
      <c r="AQ109" s="11" t="s">
        <v>31</v>
      </c>
      <c r="AR109" s="11" t="s">
        <v>32</v>
      </c>
      <c r="AS109" s="11" t="s">
        <v>33</v>
      </c>
      <c r="AT109" s="11" t="s">
        <v>46</v>
      </c>
      <c r="AU109" s="11" t="s">
        <v>34</v>
      </c>
      <c r="AV109" s="11" t="s">
        <v>35</v>
      </c>
      <c r="AW109" s="11" t="s">
        <v>60</v>
      </c>
    </row>
    <row r="110" spans="1:49" x14ac:dyDescent="0.25">
      <c r="A110" s="2" t="str">
        <f t="shared" si="15"/>
        <v>miércoles</v>
      </c>
      <c r="B110" s="14">
        <f t="shared" si="16"/>
        <v>46218.541666666664</v>
      </c>
      <c r="C110" s="15">
        <f t="shared" si="17"/>
        <v>46218.541666666664</v>
      </c>
      <c r="D110" s="2" t="s">
        <v>261</v>
      </c>
      <c r="E110" s="17" t="str">
        <f t="array" ref="E110">IFERROR(_xlfn.XLOOKUP(99,$I$9:$I$109,$M$9:$M$109),"W99")</f>
        <v/>
      </c>
      <c r="F110" s="13"/>
      <c r="G110" s="13"/>
      <c r="H110" s="17" t="str">
        <f t="array" ref="H110">IFERROR(_xlfn.XLOOKUP(100,$I$9:$I$109,$M$9:$M$109),"W100")</f>
        <v/>
      </c>
      <c r="I110" s="2">
        <v>102</v>
      </c>
      <c r="J110" s="2" t="s">
        <v>134</v>
      </c>
      <c r="K110" s="13"/>
      <c r="L110" s="13"/>
      <c r="M110" s="17" t="str">
        <f t="shared" si="14"/>
        <v/>
      </c>
      <c r="N110" s="10">
        <f t="shared" si="18"/>
        <v>46218.541666666664</v>
      </c>
      <c r="O110" s="2"/>
      <c r="P110" s="16">
        <v>46218.625</v>
      </c>
      <c r="AO110" s="11" t="s">
        <v>263</v>
      </c>
      <c r="AP110" s="11" t="s">
        <v>28</v>
      </c>
      <c r="AQ110" s="11" t="s">
        <v>31</v>
      </c>
      <c r="AR110" s="11" t="s">
        <v>32</v>
      </c>
      <c r="AS110" s="11" t="s">
        <v>55</v>
      </c>
      <c r="AT110" s="11" t="s">
        <v>33</v>
      </c>
      <c r="AU110" s="11" t="s">
        <v>34</v>
      </c>
      <c r="AV110" s="11" t="s">
        <v>35</v>
      </c>
      <c r="AW110" s="11" t="s">
        <v>50</v>
      </c>
    </row>
    <row r="111" spans="1:49" x14ac:dyDescent="0.25">
      <c r="A111" s="2" t="str">
        <f t="shared" si="15"/>
        <v>sábado</v>
      </c>
      <c r="B111" s="14">
        <f t="shared" si="16"/>
        <v>46221.625000000007</v>
      </c>
      <c r="C111" s="15">
        <f t="shared" si="17"/>
        <v>46221.625000000007</v>
      </c>
      <c r="D111" s="2" t="s">
        <v>264</v>
      </c>
      <c r="E111" s="17" t="str">
        <f>IFERROR(IF(_xlfn.XLOOKUP(101,$I$9:$I$110,$M$9:$M$110)="","",IF(_xlfn.XLOOKUP(101,$I$9:$I$110,$M$9:$M$110)=_xlfn.XLOOKUP(101,$I$9:$I$110,$E$9:$E$110),_xlfn.XLOOKUP(101,$I$9:$I$110,$H$9:$H$110),_xlfn.XLOOKUP(101,$I$9:$I$110,$E$9:$E$110))),"")</f>
        <v/>
      </c>
      <c r="F111" s="13"/>
      <c r="G111" s="13"/>
      <c r="H111" s="17" t="str">
        <f>IFERROR(IF(_xlfn.XLOOKUP(102,$I$9:$I$110,$M$9:$M$110)="","",IF(_xlfn.XLOOKUP(102,$I$9:$I$110,$M$9:$M$110)=_xlfn.XLOOKUP(102,$I$9:$I$110,$E$9:$E$110),_xlfn.XLOOKUP(102,$I$9:$I$110,$H$9:$H$110),_xlfn.XLOOKUP(102,$I$9:$I$110,$E$9:$E$110))),"")</f>
        <v/>
      </c>
      <c r="I111" s="2">
        <v>103</v>
      </c>
      <c r="J111" s="2" t="s">
        <v>143</v>
      </c>
      <c r="K111" s="13"/>
      <c r="L111" s="13"/>
      <c r="M111" s="17" t="str">
        <f t="shared" si="14"/>
        <v/>
      </c>
      <c r="N111" s="10">
        <f t="shared" si="18"/>
        <v>46221.625000000007</v>
      </c>
      <c r="O111" s="2"/>
      <c r="P111" s="16">
        <v>46221.708333333343</v>
      </c>
      <c r="AO111" s="11" t="s">
        <v>265</v>
      </c>
      <c r="AP111" s="11" t="s">
        <v>28</v>
      </c>
      <c r="AQ111" s="11" t="s">
        <v>31</v>
      </c>
      <c r="AR111" s="11" t="s">
        <v>32</v>
      </c>
      <c r="AS111" s="11" t="s">
        <v>33</v>
      </c>
      <c r="AT111" s="11" t="s">
        <v>50</v>
      </c>
      <c r="AU111" s="11" t="s">
        <v>34</v>
      </c>
      <c r="AV111" s="11" t="s">
        <v>35</v>
      </c>
      <c r="AW111" s="11" t="s">
        <v>60</v>
      </c>
    </row>
    <row r="112" spans="1:49" x14ac:dyDescent="0.25">
      <c r="A112" s="2" t="str">
        <f t="shared" si="15"/>
        <v>domingo</v>
      </c>
      <c r="B112" s="14">
        <f t="shared" si="16"/>
        <v>46222.541666666664</v>
      </c>
      <c r="C112" s="15">
        <f t="shared" si="17"/>
        <v>46222.541666666664</v>
      </c>
      <c r="D112" s="2" t="s">
        <v>266</v>
      </c>
      <c r="E112" s="17" t="str">
        <f>IFERROR(_xlfn.XLOOKUP(101,$I$9:$I$111,$M$9:$M$111),"W101")</f>
        <v/>
      </c>
      <c r="F112" s="13"/>
      <c r="G112" s="13"/>
      <c r="H112" s="17" t="str">
        <f t="array" ref="H112">IFERROR(_xlfn.XLOOKUP(102,$I$9:$I$111,$M$9:$M$111),"W102")</f>
        <v/>
      </c>
      <c r="I112" s="2">
        <v>104</v>
      </c>
      <c r="J112" s="2" t="s">
        <v>105</v>
      </c>
      <c r="K112" s="13"/>
      <c r="L112" s="13"/>
      <c r="M112" s="17" t="str">
        <f t="shared" si="14"/>
        <v/>
      </c>
      <c r="N112" s="10">
        <f t="shared" si="18"/>
        <v>46222.541666666664</v>
      </c>
      <c r="O112" s="2"/>
      <c r="P112" s="16">
        <v>46222.625</v>
      </c>
      <c r="AO112" s="11" t="s">
        <v>267</v>
      </c>
      <c r="AP112" s="11" t="s">
        <v>28</v>
      </c>
      <c r="AQ112" s="11" t="s">
        <v>31</v>
      </c>
      <c r="AR112" s="11" t="s">
        <v>32</v>
      </c>
      <c r="AS112" s="11" t="s">
        <v>55</v>
      </c>
      <c r="AT112" s="11" t="s">
        <v>33</v>
      </c>
      <c r="AU112" s="11" t="s">
        <v>34</v>
      </c>
      <c r="AV112" s="11" t="s">
        <v>35</v>
      </c>
      <c r="AW112" s="11" t="s">
        <v>60</v>
      </c>
    </row>
    <row r="113" spans="1:49" x14ac:dyDescent="0.25">
      <c r="A113" s="20" t="s">
        <v>268</v>
      </c>
      <c r="AO113" s="11" t="s">
        <v>269</v>
      </c>
      <c r="AP113" s="11" t="s">
        <v>28</v>
      </c>
      <c r="AQ113" s="11" t="s">
        <v>31</v>
      </c>
      <c r="AR113" s="11" t="s">
        <v>32</v>
      </c>
      <c r="AS113" s="11" t="s">
        <v>55</v>
      </c>
      <c r="AT113" s="11" t="s">
        <v>46</v>
      </c>
      <c r="AU113" s="11" t="s">
        <v>34</v>
      </c>
      <c r="AV113" s="11" t="s">
        <v>35</v>
      </c>
      <c r="AW113" s="11" t="s">
        <v>50</v>
      </c>
    </row>
    <row r="114" spans="1:49" x14ac:dyDescent="0.25">
      <c r="AO114" s="11" t="s">
        <v>270</v>
      </c>
      <c r="AP114" s="11" t="s">
        <v>28</v>
      </c>
      <c r="AQ114" s="11" t="s">
        <v>31</v>
      </c>
      <c r="AR114" s="11" t="s">
        <v>32</v>
      </c>
      <c r="AS114" s="11" t="s">
        <v>46</v>
      </c>
      <c r="AT114" s="11" t="s">
        <v>50</v>
      </c>
      <c r="AU114" s="11" t="s">
        <v>34</v>
      </c>
      <c r="AV114" s="11" t="s">
        <v>35</v>
      </c>
      <c r="AW114" s="11" t="s">
        <v>60</v>
      </c>
    </row>
    <row r="115" spans="1:49" x14ac:dyDescent="0.25">
      <c r="AO115" s="11" t="s">
        <v>271</v>
      </c>
      <c r="AP115" s="11" t="s">
        <v>28</v>
      </c>
      <c r="AQ115" s="11" t="s">
        <v>31</v>
      </c>
      <c r="AR115" s="11" t="s">
        <v>32</v>
      </c>
      <c r="AS115" s="11" t="s">
        <v>55</v>
      </c>
      <c r="AT115" s="11" t="s">
        <v>46</v>
      </c>
      <c r="AU115" s="11" t="s">
        <v>34</v>
      </c>
      <c r="AV115" s="11" t="s">
        <v>35</v>
      </c>
      <c r="AW115" s="11" t="s">
        <v>60</v>
      </c>
    </row>
    <row r="116" spans="1:49" x14ac:dyDescent="0.25">
      <c r="A116" s="28" t="s">
        <v>79</v>
      </c>
      <c r="B116" s="29"/>
      <c r="C116" s="29"/>
      <c r="D116" s="29"/>
      <c r="E116" s="30"/>
      <c r="F116" s="28" t="s">
        <v>80</v>
      </c>
      <c r="G116" s="29"/>
      <c r="H116" s="29"/>
      <c r="I116" s="29"/>
      <c r="J116" s="30"/>
      <c r="K116" s="28" t="s">
        <v>81</v>
      </c>
      <c r="L116" s="29"/>
      <c r="M116" s="29"/>
      <c r="N116" s="29"/>
      <c r="O116" s="30"/>
      <c r="AO116" s="11" t="s">
        <v>272</v>
      </c>
      <c r="AP116" s="11" t="s">
        <v>28</v>
      </c>
      <c r="AQ116" s="11" t="s">
        <v>31</v>
      </c>
      <c r="AR116" s="11" t="s">
        <v>32</v>
      </c>
      <c r="AS116" s="11" t="s">
        <v>55</v>
      </c>
      <c r="AT116" s="11" t="s">
        <v>50</v>
      </c>
      <c r="AU116" s="11" t="s">
        <v>34</v>
      </c>
      <c r="AV116" s="11" t="s">
        <v>35</v>
      </c>
      <c r="AW116" s="11" t="s">
        <v>60</v>
      </c>
    </row>
    <row r="117" spans="1:49" x14ac:dyDescent="0.25">
      <c r="A117" s="21" t="s">
        <v>86</v>
      </c>
      <c r="B117" s="21" t="s">
        <v>4</v>
      </c>
      <c r="C117" s="21" t="s">
        <v>39</v>
      </c>
      <c r="D117" s="21" t="s">
        <v>6</v>
      </c>
      <c r="E117" s="21" t="s">
        <v>5</v>
      </c>
      <c r="F117" s="21" t="s">
        <v>86</v>
      </c>
      <c r="G117" s="21" t="s">
        <v>4</v>
      </c>
      <c r="H117" s="21" t="s">
        <v>39</v>
      </c>
      <c r="I117" s="21" t="s">
        <v>6</v>
      </c>
      <c r="J117" s="21" t="s">
        <v>5</v>
      </c>
      <c r="K117" s="21" t="s">
        <v>86</v>
      </c>
      <c r="L117" s="21" t="s">
        <v>4</v>
      </c>
      <c r="M117" s="21" t="s">
        <v>39</v>
      </c>
      <c r="N117" s="21" t="s">
        <v>6</v>
      </c>
      <c r="O117" s="21" t="s">
        <v>5</v>
      </c>
      <c r="AO117" s="11" t="s">
        <v>273</v>
      </c>
      <c r="AP117" s="11" t="s">
        <v>28</v>
      </c>
      <c r="AQ117" s="11" t="s">
        <v>32</v>
      </c>
      <c r="AR117" s="11" t="s">
        <v>35</v>
      </c>
      <c r="AS117" s="11" t="s">
        <v>55</v>
      </c>
      <c r="AT117" s="11" t="s">
        <v>33</v>
      </c>
      <c r="AU117" s="11" t="s">
        <v>34</v>
      </c>
      <c r="AV117" s="11" t="s">
        <v>50</v>
      </c>
      <c r="AW117" s="11" t="s">
        <v>46</v>
      </c>
    </row>
    <row r="118" spans="1:49" x14ac:dyDescent="0.25">
      <c r="A118" s="3">
        <v>1</v>
      </c>
      <c r="B118" s="3" t="str">
        <f>INDEX($U$4:$U$7,MATCH(1,$AG$4:$AG$7,0))</f>
        <v>Corea del Sur</v>
      </c>
      <c r="C118" s="3">
        <f>INDEX($V$4:$V$7,MATCH(1,$AG$4:$AG$7,0))</f>
        <v>0</v>
      </c>
      <c r="D118" s="3">
        <f>INDEX($AB$4:$AB$7,MATCH(1,$AG$4:$AG$7,0))</f>
        <v>0</v>
      </c>
      <c r="E118" s="3">
        <f>INDEX($AC$4:$AC$7,MATCH(1,$AG$4:$AG$7,0))</f>
        <v>0</v>
      </c>
      <c r="F118" s="4">
        <v>1</v>
      </c>
      <c r="G118" s="4" t="str">
        <f>INDEX($U$11:$U$14,MATCH(1,$AG$11:$AG$14,0))</f>
        <v>Bosnia y Herzegovina</v>
      </c>
      <c r="H118" s="4">
        <f>INDEX($V$11:$V$14,MATCH(1,$AG$11:$AG$14,0))</f>
        <v>0</v>
      </c>
      <c r="I118" s="4">
        <f>INDEX($AB$11:$AB$14,MATCH(1,$AG$11:$AG$14,0))</f>
        <v>0</v>
      </c>
      <c r="J118" s="4">
        <f>INDEX($AC$11:$AC$14,MATCH(1,$AG$11:$AG$14,0))</f>
        <v>0</v>
      </c>
      <c r="K118" s="5">
        <v>1</v>
      </c>
      <c r="L118" s="5" t="str">
        <f>INDEX($U$18:$U$21,MATCH(1,$AG$18:$AG$21,0))</f>
        <v>Brasil</v>
      </c>
      <c r="M118" s="5">
        <f>INDEX($V$18:$V$21,MATCH(1,$AG$18:$AG$21,0))</f>
        <v>0</v>
      </c>
      <c r="N118" s="5">
        <f>INDEX($AB$18:$AB$21,MATCH(1,$AG$18:$AG$21,0))</f>
        <v>0</v>
      </c>
      <c r="O118" s="5">
        <f>INDEX($AC$18:$AC$21,MATCH(1,$AG$18:$AG$21,0))</f>
        <v>0</v>
      </c>
      <c r="AO118" s="11" t="s">
        <v>274</v>
      </c>
      <c r="AP118" s="11" t="s">
        <v>28</v>
      </c>
      <c r="AQ118" s="11" t="s">
        <v>32</v>
      </c>
      <c r="AR118" s="11" t="s">
        <v>35</v>
      </c>
      <c r="AS118" s="11" t="s">
        <v>33</v>
      </c>
      <c r="AT118" s="11" t="s">
        <v>46</v>
      </c>
      <c r="AU118" s="11" t="s">
        <v>34</v>
      </c>
      <c r="AV118" s="11" t="s">
        <v>50</v>
      </c>
      <c r="AW118" s="11" t="s">
        <v>60</v>
      </c>
    </row>
    <row r="119" spans="1:49" x14ac:dyDescent="0.25">
      <c r="A119" s="3">
        <v>2</v>
      </c>
      <c r="B119" s="3" t="str">
        <f>INDEX($U$4:$U$7,MATCH(2,$AG$4:$AG$7,0))</f>
        <v>México</v>
      </c>
      <c r="C119" s="3">
        <f>INDEX($V$4:$V$7,MATCH(2,$AG$4:$AG$7,0))</f>
        <v>0</v>
      </c>
      <c r="D119" s="3">
        <f>INDEX($AB$4:$AB$7,MATCH(2,$AG$4:$AG$7,0))</f>
        <v>0</v>
      </c>
      <c r="E119" s="3">
        <f>INDEX($AC$4:$AC$7,MATCH(2,$AG$4:$AG$7,0))</f>
        <v>0</v>
      </c>
      <c r="F119" s="4">
        <v>2</v>
      </c>
      <c r="G119" s="4" t="str">
        <f>INDEX($U$11:$U$14,MATCH(2,$AG$11:$AG$14,0))</f>
        <v>Canadá</v>
      </c>
      <c r="H119" s="4">
        <f>INDEX($V$11:$V$14,MATCH(2,$AG$11:$AG$14,0))</f>
        <v>0</v>
      </c>
      <c r="I119" s="4">
        <f>INDEX($AB$11:$AB$14,MATCH(2,$AG$11:$AG$14,0))</f>
        <v>0</v>
      </c>
      <c r="J119" s="4">
        <f>INDEX($AC$11:$AC$14,MATCH(2,$AG$11:$AG$14,0))</f>
        <v>0</v>
      </c>
      <c r="K119" s="5">
        <v>2</v>
      </c>
      <c r="L119" s="5" t="str">
        <f>INDEX($U$18:$U$21,MATCH(2,$AG$18:$AG$21,0))</f>
        <v>Escocia</v>
      </c>
      <c r="M119" s="5">
        <f>INDEX($V$18:$V$21,MATCH(2,$AG$18:$AG$21,0))</f>
        <v>0</v>
      </c>
      <c r="N119" s="5">
        <f>INDEX($AB$18:$AB$21,MATCH(2,$AG$18:$AG$21,0))</f>
        <v>0</v>
      </c>
      <c r="O119" s="5">
        <f>INDEX($AC$18:$AC$21,MATCH(2,$AG$18:$AG$21,0))</f>
        <v>0</v>
      </c>
      <c r="AO119" s="11" t="s">
        <v>275</v>
      </c>
      <c r="AP119" s="11" t="s">
        <v>28</v>
      </c>
      <c r="AQ119" s="11" t="s">
        <v>32</v>
      </c>
      <c r="AR119" s="11" t="s">
        <v>35</v>
      </c>
      <c r="AS119" s="11" t="s">
        <v>55</v>
      </c>
      <c r="AT119" s="11" t="s">
        <v>33</v>
      </c>
      <c r="AU119" s="11" t="s">
        <v>34</v>
      </c>
      <c r="AV119" s="11" t="s">
        <v>46</v>
      </c>
      <c r="AW119" s="11" t="s">
        <v>60</v>
      </c>
    </row>
    <row r="120" spans="1:49" x14ac:dyDescent="0.25">
      <c r="A120" s="3">
        <v>3</v>
      </c>
      <c r="B120" s="3" t="str">
        <f>INDEX($U$4:$U$7,MATCH(3,$AG$4:$AG$7,0))</f>
        <v>República Checa</v>
      </c>
      <c r="C120" s="3">
        <f>INDEX($V$4:$V$7,MATCH(3,$AG$4:$AG$7,0))</f>
        <v>0</v>
      </c>
      <c r="D120" s="3">
        <f>INDEX($AB$4:$AB$7,MATCH(3,$AG$4:$AG$7,0))</f>
        <v>0</v>
      </c>
      <c r="E120" s="3">
        <f>INDEX($AC$4:$AC$7,MATCH(3,$AG$4:$AG$7,0))</f>
        <v>0</v>
      </c>
      <c r="F120" s="4">
        <v>3</v>
      </c>
      <c r="G120" s="4" t="str">
        <f>INDEX($U$11:$U$14,MATCH(3,$AG$11:$AG$14,0))</f>
        <v>Catar</v>
      </c>
      <c r="H120" s="4">
        <f>INDEX($V$11:$V$14,MATCH(3,$AG$11:$AG$14,0))</f>
        <v>0</v>
      </c>
      <c r="I120" s="4">
        <f>INDEX($AB$11:$AB$14,MATCH(3,$AG$11:$AG$14,0))</f>
        <v>0</v>
      </c>
      <c r="J120" s="4">
        <f>INDEX($AC$11:$AC$14,MATCH(3,$AG$11:$AG$14,0))</f>
        <v>0</v>
      </c>
      <c r="K120" s="5">
        <v>3</v>
      </c>
      <c r="L120" s="5" t="str">
        <f>INDEX($U$18:$U$21,MATCH(3,$AG$18:$AG$21,0))</f>
        <v>Haití</v>
      </c>
      <c r="M120" s="5">
        <f>INDEX($V$18:$V$21,MATCH(3,$AG$18:$AG$21,0))</f>
        <v>0</v>
      </c>
      <c r="N120" s="5">
        <f>INDEX($AB$18:$AB$21,MATCH(3,$AG$18:$AG$21,0))</f>
        <v>0</v>
      </c>
      <c r="O120" s="5">
        <f>INDEX($AC$18:$AC$21,MATCH(3,$AG$18:$AG$21,0))</f>
        <v>0</v>
      </c>
      <c r="AO120" s="11" t="s">
        <v>276</v>
      </c>
      <c r="AP120" s="11" t="s">
        <v>28</v>
      </c>
      <c r="AQ120" s="11" t="s">
        <v>32</v>
      </c>
      <c r="AR120" s="11" t="s">
        <v>35</v>
      </c>
      <c r="AS120" s="11" t="s">
        <v>55</v>
      </c>
      <c r="AT120" s="11" t="s">
        <v>33</v>
      </c>
      <c r="AU120" s="11" t="s">
        <v>34</v>
      </c>
      <c r="AV120" s="11" t="s">
        <v>50</v>
      </c>
      <c r="AW120" s="11" t="s">
        <v>60</v>
      </c>
    </row>
    <row r="121" spans="1:49" x14ac:dyDescent="0.25">
      <c r="A121" s="3">
        <v>4</v>
      </c>
      <c r="B121" s="3" t="str">
        <f>INDEX($U$4:$U$7,MATCH(4,$AG$4:$AG$7,0))</f>
        <v>Sudáfrica</v>
      </c>
      <c r="C121" s="3">
        <f>INDEX($V$4:$V$7,MATCH(4,$AG$4:$AG$7,0))</f>
        <v>0</v>
      </c>
      <c r="D121" s="3">
        <f>INDEX($AB$4:$AB$7,MATCH(4,$AG$4:$AG$7,0))</f>
        <v>0</v>
      </c>
      <c r="E121" s="3">
        <f>INDEX($AC$4:$AC$7,MATCH(4,$AG$4:$AG$7,0))</f>
        <v>0</v>
      </c>
      <c r="F121" s="4">
        <v>4</v>
      </c>
      <c r="G121" s="4" t="str">
        <f>INDEX($U$11:$U$14,MATCH(4,$AG$11:$AG$14,0))</f>
        <v>Suiza</v>
      </c>
      <c r="H121" s="4">
        <f>INDEX($V$11:$V$14,MATCH(4,$AG$11:$AG$14,0))</f>
        <v>0</v>
      </c>
      <c r="I121" s="4">
        <f>INDEX($AB$11:$AB$14,MATCH(4,$AG$11:$AG$14,0))</f>
        <v>0</v>
      </c>
      <c r="J121" s="4">
        <f>INDEX($AC$11:$AC$14,MATCH(4,$AG$11:$AG$14,0))</f>
        <v>0</v>
      </c>
      <c r="K121" s="5">
        <v>4</v>
      </c>
      <c r="L121" s="5" t="str">
        <f>INDEX($U$18:$U$21,MATCH(4,$AG$18:$AG$21,0))</f>
        <v>Marruecos</v>
      </c>
      <c r="M121" s="5">
        <f>INDEX($V$18:$V$21,MATCH(4,$AG$18:$AG$21,0))</f>
        <v>0</v>
      </c>
      <c r="N121" s="5">
        <f>INDEX($AB$18:$AB$21,MATCH(4,$AG$18:$AG$21,0))</f>
        <v>0</v>
      </c>
      <c r="O121" s="5">
        <f>INDEX($AC$18:$AC$21,MATCH(4,$AG$18:$AG$21,0))</f>
        <v>0</v>
      </c>
      <c r="AO121" s="11" t="s">
        <v>277</v>
      </c>
      <c r="AP121" s="11" t="s">
        <v>28</v>
      </c>
      <c r="AQ121" s="11" t="s">
        <v>32</v>
      </c>
      <c r="AR121" s="11" t="s">
        <v>35</v>
      </c>
      <c r="AS121" s="11" t="s">
        <v>55</v>
      </c>
      <c r="AT121" s="11" t="s">
        <v>46</v>
      </c>
      <c r="AU121" s="11" t="s">
        <v>34</v>
      </c>
      <c r="AV121" s="11" t="s">
        <v>50</v>
      </c>
      <c r="AW121" s="11" t="s">
        <v>60</v>
      </c>
    </row>
    <row r="122" spans="1:49" x14ac:dyDescent="0.25">
      <c r="AO122" s="11" t="s">
        <v>278</v>
      </c>
      <c r="AP122" s="11" t="s">
        <v>28</v>
      </c>
      <c r="AQ122" s="11" t="s">
        <v>31</v>
      </c>
      <c r="AR122" s="11" t="s">
        <v>32</v>
      </c>
      <c r="AS122" s="11" t="s">
        <v>55</v>
      </c>
      <c r="AT122" s="11" t="s">
        <v>33</v>
      </c>
      <c r="AU122" s="11" t="s">
        <v>34</v>
      </c>
      <c r="AV122" s="11" t="s">
        <v>50</v>
      </c>
      <c r="AW122" s="11" t="s">
        <v>46</v>
      </c>
    </row>
    <row r="123" spans="1:49" x14ac:dyDescent="0.25">
      <c r="AO123" s="11" t="s">
        <v>279</v>
      </c>
      <c r="AP123" s="11" t="s">
        <v>28</v>
      </c>
      <c r="AQ123" s="11" t="s">
        <v>31</v>
      </c>
      <c r="AR123" s="11" t="s">
        <v>32</v>
      </c>
      <c r="AS123" s="11" t="s">
        <v>33</v>
      </c>
      <c r="AT123" s="11" t="s">
        <v>46</v>
      </c>
      <c r="AU123" s="11" t="s">
        <v>34</v>
      </c>
      <c r="AV123" s="11" t="s">
        <v>50</v>
      </c>
      <c r="AW123" s="11" t="s">
        <v>60</v>
      </c>
    </row>
    <row r="124" spans="1:49" x14ac:dyDescent="0.25">
      <c r="A124" s="28" t="s">
        <v>94</v>
      </c>
      <c r="B124" s="29"/>
      <c r="C124" s="29"/>
      <c r="D124" s="29"/>
      <c r="E124" s="30"/>
      <c r="F124" s="28" t="s">
        <v>115</v>
      </c>
      <c r="G124" s="29"/>
      <c r="H124" s="29"/>
      <c r="I124" s="29"/>
      <c r="J124" s="30"/>
      <c r="K124" s="28" t="s">
        <v>116</v>
      </c>
      <c r="L124" s="29"/>
      <c r="M124" s="29"/>
      <c r="N124" s="29"/>
      <c r="O124" s="30"/>
      <c r="AO124" s="11" t="s">
        <v>280</v>
      </c>
      <c r="AP124" s="11" t="s">
        <v>28</v>
      </c>
      <c r="AQ124" s="11" t="s">
        <v>31</v>
      </c>
      <c r="AR124" s="11" t="s">
        <v>32</v>
      </c>
      <c r="AS124" s="11" t="s">
        <v>55</v>
      </c>
      <c r="AT124" s="11" t="s">
        <v>33</v>
      </c>
      <c r="AU124" s="11" t="s">
        <v>34</v>
      </c>
      <c r="AV124" s="11" t="s">
        <v>46</v>
      </c>
      <c r="AW124" s="11" t="s">
        <v>60</v>
      </c>
    </row>
    <row r="125" spans="1:49" x14ac:dyDescent="0.25">
      <c r="A125" s="21" t="s">
        <v>86</v>
      </c>
      <c r="B125" s="21" t="s">
        <v>4</v>
      </c>
      <c r="C125" s="21" t="s">
        <v>39</v>
      </c>
      <c r="D125" s="21" t="s">
        <v>6</v>
      </c>
      <c r="E125" s="21" t="s">
        <v>5</v>
      </c>
      <c r="F125" s="21" t="s">
        <v>86</v>
      </c>
      <c r="G125" s="21" t="s">
        <v>4</v>
      </c>
      <c r="H125" s="21" t="s">
        <v>39</v>
      </c>
      <c r="I125" s="21" t="s">
        <v>6</v>
      </c>
      <c r="J125" s="21" t="s">
        <v>5</v>
      </c>
      <c r="K125" s="21" t="s">
        <v>86</v>
      </c>
      <c r="L125" s="21" t="s">
        <v>4</v>
      </c>
      <c r="M125" s="21" t="s">
        <v>39</v>
      </c>
      <c r="N125" s="21" t="s">
        <v>6</v>
      </c>
      <c r="O125" s="21" t="s">
        <v>5</v>
      </c>
      <c r="AO125" s="11" t="s">
        <v>281</v>
      </c>
      <c r="AP125" s="11" t="s">
        <v>28</v>
      </c>
      <c r="AQ125" s="11" t="s">
        <v>31</v>
      </c>
      <c r="AR125" s="11" t="s">
        <v>32</v>
      </c>
      <c r="AS125" s="11" t="s">
        <v>55</v>
      </c>
      <c r="AT125" s="11" t="s">
        <v>33</v>
      </c>
      <c r="AU125" s="11" t="s">
        <v>34</v>
      </c>
      <c r="AV125" s="11" t="s">
        <v>50</v>
      </c>
      <c r="AW125" s="11" t="s">
        <v>60</v>
      </c>
    </row>
    <row r="126" spans="1:49" x14ac:dyDescent="0.25">
      <c r="A126" s="3">
        <v>1</v>
      </c>
      <c r="B126" s="3" t="str">
        <f>INDEX($U$25:$U$28,MATCH(1,$AG$25:$AG$28,0))</f>
        <v>Australia</v>
      </c>
      <c r="C126" s="3">
        <f>INDEX($V$25:$V$28,MATCH(1,$AG$25:$AG$28,0))</f>
        <v>0</v>
      </c>
      <c r="D126" s="3">
        <f>INDEX($AB$25:$AB$28,MATCH(1,$AG$25:$AG$28,0))</f>
        <v>0</v>
      </c>
      <c r="E126" s="3">
        <f>INDEX($AC$25:$AC$28,MATCH(1,$AG$25:$AG$28,0))</f>
        <v>0</v>
      </c>
      <c r="F126" s="4">
        <v>1</v>
      </c>
      <c r="G126" s="4" t="str">
        <f>INDEX($U$32:$U$35,MATCH(1,$AG$32:$AG$35,0))</f>
        <v>Alemania</v>
      </c>
      <c r="H126" s="4">
        <f>INDEX($V$32:$V$35,MATCH(1,$AG$32:$AG$35,0))</f>
        <v>0</v>
      </c>
      <c r="I126" s="4">
        <f>INDEX($AB$32:$AB$35,MATCH(1,$AG$32:$AG$35,0))</f>
        <v>0</v>
      </c>
      <c r="J126" s="4">
        <f>INDEX($AC$32:$AC$35,MATCH(1,$AG$32:$AG$35,0))</f>
        <v>0</v>
      </c>
      <c r="K126" s="5">
        <v>1</v>
      </c>
      <c r="L126" s="5" t="str">
        <f>INDEX($U$39:$U$42,MATCH(1,$AG$39:$AG$42,0))</f>
        <v>Japón</v>
      </c>
      <c r="M126" s="5">
        <f>INDEX($V$39:$V$42,MATCH(1,$AG$39:$AG$42,0))</f>
        <v>0</v>
      </c>
      <c r="N126" s="5">
        <f>INDEX($AB$39:$AB$42,MATCH(1,$AG$39:$AG$42,0))</f>
        <v>0</v>
      </c>
      <c r="O126" s="5">
        <f>INDEX($AC$39:$AC$42,MATCH(1,$AG$39:$AG$42,0))</f>
        <v>0</v>
      </c>
      <c r="AO126" s="11" t="s">
        <v>282</v>
      </c>
      <c r="AP126" s="11" t="s">
        <v>28</v>
      </c>
      <c r="AQ126" s="11" t="s">
        <v>31</v>
      </c>
      <c r="AR126" s="11" t="s">
        <v>32</v>
      </c>
      <c r="AS126" s="11" t="s">
        <v>55</v>
      </c>
      <c r="AT126" s="11" t="s">
        <v>46</v>
      </c>
      <c r="AU126" s="11" t="s">
        <v>34</v>
      </c>
      <c r="AV126" s="11" t="s">
        <v>50</v>
      </c>
      <c r="AW126" s="11" t="s">
        <v>60</v>
      </c>
    </row>
    <row r="127" spans="1:49" x14ac:dyDescent="0.25">
      <c r="A127" s="3">
        <v>2</v>
      </c>
      <c r="B127" s="3" t="str">
        <f>INDEX($U$25:$U$28,MATCH(2,$AG$25:$AG$28,0))</f>
        <v>Estados Unidos</v>
      </c>
      <c r="C127" s="3">
        <f>INDEX($V$25:$V$28,MATCH(2,$AG$25:$AG$28,0))</f>
        <v>0</v>
      </c>
      <c r="D127" s="3">
        <f>INDEX($AB$25:$AB$28,MATCH(2,$AG$25:$AG$28,0))</f>
        <v>0</v>
      </c>
      <c r="E127" s="3">
        <f>INDEX($AC$25:$AC$28,MATCH(2,$AG$25:$AG$28,0))</f>
        <v>0</v>
      </c>
      <c r="F127" s="4">
        <v>2</v>
      </c>
      <c r="G127" s="4" t="str">
        <f>INDEX($U$32:$U$35,MATCH(2,$AG$32:$AG$35,0))</f>
        <v>Costa de Marfil</v>
      </c>
      <c r="H127" s="4">
        <f>INDEX($V$32:$V$35,MATCH(2,$AG$32:$AG$35,0))</f>
        <v>0</v>
      </c>
      <c r="I127" s="4">
        <f>INDEX($AB$32:$AB$35,MATCH(2,$AG$32:$AG$35,0))</f>
        <v>0</v>
      </c>
      <c r="J127" s="4">
        <f>INDEX($AC$32:$AC$35,MATCH(2,$AG$32:$AG$35,0))</f>
        <v>0</v>
      </c>
      <c r="K127" s="5">
        <v>2</v>
      </c>
      <c r="L127" s="5" t="str">
        <f>INDEX($U$39:$U$42,MATCH(2,$AG$39:$AG$42,0))</f>
        <v>Países Bajos</v>
      </c>
      <c r="M127" s="5">
        <f>INDEX($V$39:$V$42,MATCH(2,$AG$39:$AG$42,0))</f>
        <v>0</v>
      </c>
      <c r="N127" s="5">
        <f>INDEX($AB$39:$AB$42,MATCH(2,$AG$39:$AG$42,0))</f>
        <v>0</v>
      </c>
      <c r="O127" s="5">
        <f>INDEX($AC$39:$AC$42,MATCH(2,$AG$39:$AG$42,0))</f>
        <v>0</v>
      </c>
      <c r="AO127" s="11" t="s">
        <v>283</v>
      </c>
      <c r="AP127" s="11" t="s">
        <v>28</v>
      </c>
      <c r="AQ127" s="11" t="s">
        <v>32</v>
      </c>
      <c r="AR127" s="11" t="s">
        <v>33</v>
      </c>
      <c r="AS127" s="11" t="s">
        <v>55</v>
      </c>
      <c r="AT127" s="11" t="s">
        <v>46</v>
      </c>
      <c r="AU127" s="11" t="s">
        <v>34</v>
      </c>
      <c r="AV127" s="11" t="s">
        <v>50</v>
      </c>
      <c r="AW127" s="11" t="s">
        <v>60</v>
      </c>
    </row>
    <row r="128" spans="1:49" x14ac:dyDescent="0.25">
      <c r="A128" s="3">
        <v>3</v>
      </c>
      <c r="B128" s="3" t="str">
        <f>INDEX($U$25:$U$28,MATCH(3,$AG$25:$AG$28,0))</f>
        <v>Paraguay</v>
      </c>
      <c r="C128" s="3">
        <f>INDEX($V$25:$V$28,MATCH(3,$AG$25:$AG$28,0))</f>
        <v>0</v>
      </c>
      <c r="D128" s="3">
        <f>INDEX($AB$25:$AB$28,MATCH(3,$AG$25:$AG$28,0))</f>
        <v>0</v>
      </c>
      <c r="E128" s="3">
        <f>INDEX($AC$25:$AC$28,MATCH(3,$AG$25:$AG$28,0))</f>
        <v>0</v>
      </c>
      <c r="F128" s="4">
        <v>3</v>
      </c>
      <c r="G128" s="4" t="str">
        <f>INDEX($U$32:$U$35,MATCH(3,$AG$32:$AG$35,0))</f>
        <v>Curazao</v>
      </c>
      <c r="H128" s="4">
        <f>INDEX($V$32:$V$35,MATCH(3,$AG$32:$AG$35,0))</f>
        <v>0</v>
      </c>
      <c r="I128" s="4">
        <f>INDEX($AB$32:$AB$35,MATCH(3,$AG$32:$AG$35,0))</f>
        <v>0</v>
      </c>
      <c r="J128" s="4">
        <f>INDEX($AC$32:$AC$35,MATCH(3,$AG$32:$AG$35,0))</f>
        <v>0</v>
      </c>
      <c r="K128" s="5">
        <v>3</v>
      </c>
      <c r="L128" s="5" t="str">
        <f>INDEX($U$39:$U$42,MATCH(3,$AG$39:$AG$42,0))</f>
        <v>Suecia</v>
      </c>
      <c r="M128" s="5">
        <f>INDEX($V$39:$V$42,MATCH(3,$AG$39:$AG$42,0))</f>
        <v>0</v>
      </c>
      <c r="N128" s="5">
        <f>INDEX($AB$39:$AB$42,MATCH(3,$AG$39:$AG$42,0))</f>
        <v>0</v>
      </c>
      <c r="O128" s="5">
        <f>INDEX($AC$39:$AC$42,MATCH(3,$AG$39:$AG$42,0))</f>
        <v>0</v>
      </c>
      <c r="AO128" s="11" t="s">
        <v>284</v>
      </c>
      <c r="AP128" s="11" t="s">
        <v>30</v>
      </c>
      <c r="AQ128" s="11" t="s">
        <v>31</v>
      </c>
      <c r="AR128" s="11" t="s">
        <v>36</v>
      </c>
      <c r="AS128" s="11" t="s">
        <v>33</v>
      </c>
      <c r="AT128" s="11" t="s">
        <v>28</v>
      </c>
      <c r="AU128" s="11" t="s">
        <v>34</v>
      </c>
      <c r="AV128" s="11" t="s">
        <v>35</v>
      </c>
      <c r="AW128" s="11" t="s">
        <v>46</v>
      </c>
    </row>
    <row r="129" spans="1:49" x14ac:dyDescent="0.25">
      <c r="A129" s="3">
        <v>4</v>
      </c>
      <c r="B129" s="3" t="str">
        <f>INDEX($U$25:$U$28,MATCH(4,$AG$25:$AG$28,0))</f>
        <v>Turquía</v>
      </c>
      <c r="C129" s="3">
        <f>INDEX($V$25:$V$28,MATCH(4,$AG$25:$AG$28,0))</f>
        <v>0</v>
      </c>
      <c r="D129" s="3">
        <f>INDEX($AB$25:$AB$28,MATCH(4,$AG$25:$AG$28,0))</f>
        <v>0</v>
      </c>
      <c r="E129" s="3">
        <f>INDEX($AC$25:$AC$28,MATCH(4,$AG$25:$AG$28,0))</f>
        <v>0</v>
      </c>
      <c r="F129" s="4">
        <v>4</v>
      </c>
      <c r="G129" s="4" t="str">
        <f>INDEX($U$32:$U$35,MATCH(4,$AG$32:$AG$35,0))</f>
        <v>Ecuador</v>
      </c>
      <c r="H129" s="4">
        <f>INDEX($V$32:$V$35,MATCH(4,$AG$32:$AG$35,0))</f>
        <v>0</v>
      </c>
      <c r="I129" s="4">
        <f>INDEX($AB$32:$AB$35,MATCH(4,$AG$32:$AG$35,0))</f>
        <v>0</v>
      </c>
      <c r="J129" s="4">
        <f>INDEX($AC$32:$AC$35,MATCH(4,$AG$32:$AG$35,0))</f>
        <v>0</v>
      </c>
      <c r="K129" s="5">
        <v>4</v>
      </c>
      <c r="L129" s="5" t="str">
        <f>INDEX($U$39:$U$42,MATCH(4,$AG$39:$AG$42,0))</f>
        <v>Túnez</v>
      </c>
      <c r="M129" s="5">
        <f>INDEX($V$39:$V$42,MATCH(4,$AG$39:$AG$42,0))</f>
        <v>0</v>
      </c>
      <c r="N129" s="5">
        <f>INDEX($AB$39:$AB$42,MATCH(4,$AG$39:$AG$42,0))</f>
        <v>0</v>
      </c>
      <c r="O129" s="5">
        <f>INDEX($AC$39:$AC$42,MATCH(4,$AG$39:$AG$42,0))</f>
        <v>0</v>
      </c>
      <c r="AO129" s="11" t="s">
        <v>285</v>
      </c>
      <c r="AP129" s="11" t="s">
        <v>30</v>
      </c>
      <c r="AQ129" s="11" t="s">
        <v>31</v>
      </c>
      <c r="AR129" s="11" t="s">
        <v>36</v>
      </c>
      <c r="AS129" s="11" t="s">
        <v>33</v>
      </c>
      <c r="AT129" s="11" t="s">
        <v>28</v>
      </c>
      <c r="AU129" s="11" t="s">
        <v>34</v>
      </c>
      <c r="AV129" s="11" t="s">
        <v>35</v>
      </c>
      <c r="AW129" s="11" t="s">
        <v>50</v>
      </c>
    </row>
    <row r="130" spans="1:49" x14ac:dyDescent="0.25">
      <c r="AO130" s="11" t="s">
        <v>286</v>
      </c>
      <c r="AP130" s="11" t="s">
        <v>30</v>
      </c>
      <c r="AQ130" s="11" t="s">
        <v>31</v>
      </c>
      <c r="AR130" s="11" t="s">
        <v>33</v>
      </c>
      <c r="AS130" s="11" t="s">
        <v>55</v>
      </c>
      <c r="AT130" s="11" t="s">
        <v>28</v>
      </c>
      <c r="AU130" s="11" t="s">
        <v>34</v>
      </c>
      <c r="AV130" s="11" t="s">
        <v>35</v>
      </c>
      <c r="AW130" s="11" t="s">
        <v>36</v>
      </c>
    </row>
    <row r="131" spans="1:49" x14ac:dyDescent="0.25">
      <c r="AO131" s="11" t="s">
        <v>287</v>
      </c>
      <c r="AP131" s="11" t="s">
        <v>30</v>
      </c>
      <c r="AQ131" s="11" t="s">
        <v>31</v>
      </c>
      <c r="AR131" s="11" t="s">
        <v>36</v>
      </c>
      <c r="AS131" s="11" t="s">
        <v>33</v>
      </c>
      <c r="AT131" s="11" t="s">
        <v>28</v>
      </c>
      <c r="AU131" s="11" t="s">
        <v>34</v>
      </c>
      <c r="AV131" s="11" t="s">
        <v>35</v>
      </c>
      <c r="AW131" s="11" t="s">
        <v>60</v>
      </c>
    </row>
    <row r="132" spans="1:49" x14ac:dyDescent="0.25">
      <c r="A132" s="28" t="s">
        <v>136</v>
      </c>
      <c r="B132" s="29"/>
      <c r="C132" s="29"/>
      <c r="D132" s="29"/>
      <c r="E132" s="30"/>
      <c r="F132" s="28" t="s">
        <v>132</v>
      </c>
      <c r="G132" s="29"/>
      <c r="H132" s="29"/>
      <c r="I132" s="29"/>
      <c r="J132" s="30"/>
      <c r="K132" s="28" t="s">
        <v>150</v>
      </c>
      <c r="L132" s="29"/>
      <c r="M132" s="29"/>
      <c r="N132" s="29"/>
      <c r="O132" s="30"/>
      <c r="AO132" s="11" t="s">
        <v>288</v>
      </c>
      <c r="AP132" s="11" t="s">
        <v>30</v>
      </c>
      <c r="AQ132" s="11" t="s">
        <v>31</v>
      </c>
      <c r="AR132" s="11" t="s">
        <v>36</v>
      </c>
      <c r="AS132" s="11" t="s">
        <v>46</v>
      </c>
      <c r="AT132" s="11" t="s">
        <v>28</v>
      </c>
      <c r="AU132" s="11" t="s">
        <v>34</v>
      </c>
      <c r="AV132" s="11" t="s">
        <v>35</v>
      </c>
      <c r="AW132" s="11" t="s">
        <v>50</v>
      </c>
    </row>
    <row r="133" spans="1:49" x14ac:dyDescent="0.25">
      <c r="A133" s="21" t="s">
        <v>86</v>
      </c>
      <c r="B133" s="21" t="s">
        <v>4</v>
      </c>
      <c r="C133" s="21" t="s">
        <v>39</v>
      </c>
      <c r="D133" s="21" t="s">
        <v>6</v>
      </c>
      <c r="E133" s="21" t="s">
        <v>5</v>
      </c>
      <c r="F133" s="21" t="s">
        <v>86</v>
      </c>
      <c r="G133" s="21" t="s">
        <v>4</v>
      </c>
      <c r="H133" s="21" t="s">
        <v>39</v>
      </c>
      <c r="I133" s="21" t="s">
        <v>6</v>
      </c>
      <c r="J133" s="21" t="s">
        <v>5</v>
      </c>
      <c r="K133" s="21" t="s">
        <v>86</v>
      </c>
      <c r="L133" s="21" t="s">
        <v>4</v>
      </c>
      <c r="M133" s="21" t="s">
        <v>39</v>
      </c>
      <c r="N133" s="21" t="s">
        <v>6</v>
      </c>
      <c r="O133" s="21" t="s">
        <v>5</v>
      </c>
      <c r="AO133" s="11" t="s">
        <v>289</v>
      </c>
      <c r="AP133" s="11" t="s">
        <v>30</v>
      </c>
      <c r="AQ133" s="11" t="s">
        <v>31</v>
      </c>
      <c r="AR133" s="11" t="s">
        <v>36</v>
      </c>
      <c r="AS133" s="11" t="s">
        <v>55</v>
      </c>
      <c r="AT133" s="11" t="s">
        <v>28</v>
      </c>
      <c r="AU133" s="11" t="s">
        <v>34</v>
      </c>
      <c r="AV133" s="11" t="s">
        <v>35</v>
      </c>
      <c r="AW133" s="11" t="s">
        <v>46</v>
      </c>
    </row>
    <row r="134" spans="1:49" x14ac:dyDescent="0.25">
      <c r="A134" s="3">
        <v>1</v>
      </c>
      <c r="B134" s="3" t="str">
        <f>INDEX($U$46:$U$49,MATCH(1,$AG$46:$AG$49,0))</f>
        <v>Bélgica</v>
      </c>
      <c r="C134" s="3">
        <f>INDEX($V$46:$V$49,MATCH(1,$AG$46:$AG$49,0))</f>
        <v>0</v>
      </c>
      <c r="D134" s="3">
        <f>INDEX($AB$46:$AB$49,MATCH(1,$AG$46:$AG$49,0))</f>
        <v>0</v>
      </c>
      <c r="E134" s="3">
        <f>INDEX($AC$46:$AC$49,MATCH(1,$AG$46:$AG$49,0))</f>
        <v>0</v>
      </c>
      <c r="F134" s="4">
        <v>1</v>
      </c>
      <c r="G134" s="4" t="str">
        <f>INDEX($U$53:$U$56,MATCH(1,$AG$53:$AG$56,0))</f>
        <v>Arabia Saudita</v>
      </c>
      <c r="H134" s="4">
        <f>INDEX($V$53:$V$56,MATCH(1,$AG$53:$AG$56,0))</f>
        <v>0</v>
      </c>
      <c r="I134" s="4">
        <f>INDEX($AB$53:$AB$56,MATCH(1,$AG$53:$AG$56,0))</f>
        <v>0</v>
      </c>
      <c r="J134" s="4">
        <f>INDEX($AC$53:$AC$56,MATCH(1,$AG$53:$AG$56,0))</f>
        <v>0</v>
      </c>
      <c r="K134" s="5">
        <v>1</v>
      </c>
      <c r="L134" s="5" t="str">
        <f>INDEX($U$60:$U$63,MATCH(1,$AG$60:$AG$63,0))</f>
        <v>Francia</v>
      </c>
      <c r="M134" s="5">
        <f>INDEX($V$60:$V$63,MATCH(1,$AG$60:$AG$63,0))</f>
        <v>0</v>
      </c>
      <c r="N134" s="5">
        <f>INDEX($AB$60:$AB$63,MATCH(1,$AG$60:$AG$63,0))</f>
        <v>0</v>
      </c>
      <c r="O134" s="5">
        <f>INDEX($AC$60:$AC$63,MATCH(1,$AG$60:$AG$63,0))</f>
        <v>0</v>
      </c>
      <c r="AO134" s="11" t="s">
        <v>290</v>
      </c>
      <c r="AP134" s="11" t="s">
        <v>30</v>
      </c>
      <c r="AQ134" s="11" t="s">
        <v>31</v>
      </c>
      <c r="AR134" s="11" t="s">
        <v>36</v>
      </c>
      <c r="AS134" s="11" t="s">
        <v>46</v>
      </c>
      <c r="AT134" s="11" t="s">
        <v>28</v>
      </c>
      <c r="AU134" s="11" t="s">
        <v>34</v>
      </c>
      <c r="AV134" s="11" t="s">
        <v>35</v>
      </c>
      <c r="AW134" s="11" t="s">
        <v>60</v>
      </c>
    </row>
    <row r="135" spans="1:49" x14ac:dyDescent="0.25">
      <c r="A135" s="3">
        <v>2</v>
      </c>
      <c r="B135" s="3" t="str">
        <f>INDEX($U$46:$U$49,MATCH(2,$AG$46:$AG$49,0))</f>
        <v>Egipto</v>
      </c>
      <c r="C135" s="3">
        <f>INDEX($V$46:$V$49,MATCH(2,$AG$46:$AG$49,0))</f>
        <v>0</v>
      </c>
      <c r="D135" s="3">
        <f>INDEX($AB$46:$AB$49,MATCH(2,$AG$46:$AG$49,0))</f>
        <v>0</v>
      </c>
      <c r="E135" s="3">
        <f>INDEX($AC$46:$AC$49,MATCH(2,$AG$46:$AG$49,0))</f>
        <v>0</v>
      </c>
      <c r="F135" s="4">
        <v>2</v>
      </c>
      <c r="G135" s="4" t="str">
        <f>INDEX($U$53:$U$56,MATCH(2,$AG$53:$AG$56,0))</f>
        <v>Cabo Verde</v>
      </c>
      <c r="H135" s="4">
        <f>INDEX($V$53:$V$56,MATCH(2,$AG$53:$AG$56,0))</f>
        <v>0</v>
      </c>
      <c r="I135" s="4">
        <f>INDEX($AB$53:$AB$56,MATCH(2,$AG$53:$AG$56,0))</f>
        <v>0</v>
      </c>
      <c r="J135" s="4">
        <f>INDEX($AC$53:$AC$56,MATCH(2,$AG$53:$AG$56,0))</f>
        <v>0</v>
      </c>
      <c r="K135" s="5">
        <v>2</v>
      </c>
      <c r="L135" s="5" t="str">
        <f>INDEX($U$60:$U$63,MATCH(2,$AG$60:$AG$63,0))</f>
        <v>Irak</v>
      </c>
      <c r="M135" s="5">
        <f>INDEX($V$60:$V$63,MATCH(2,$AG$60:$AG$63,0))</f>
        <v>0</v>
      </c>
      <c r="N135" s="5">
        <f>INDEX($AB$60:$AB$63,MATCH(2,$AG$60:$AG$63,0))</f>
        <v>0</v>
      </c>
      <c r="O135" s="5">
        <f>INDEX($AC$60:$AC$63,MATCH(2,$AG$60:$AG$63,0))</f>
        <v>0</v>
      </c>
      <c r="AO135" s="11" t="s">
        <v>291</v>
      </c>
      <c r="AP135" s="11" t="s">
        <v>30</v>
      </c>
      <c r="AQ135" s="11" t="s">
        <v>31</v>
      </c>
      <c r="AR135" s="11" t="s">
        <v>36</v>
      </c>
      <c r="AS135" s="11" t="s">
        <v>55</v>
      </c>
      <c r="AT135" s="11" t="s">
        <v>28</v>
      </c>
      <c r="AU135" s="11" t="s">
        <v>34</v>
      </c>
      <c r="AV135" s="11" t="s">
        <v>35</v>
      </c>
      <c r="AW135" s="11" t="s">
        <v>50</v>
      </c>
    </row>
    <row r="136" spans="1:49" x14ac:dyDescent="0.25">
      <c r="A136" s="3">
        <v>3</v>
      </c>
      <c r="B136" s="3" t="str">
        <f>INDEX($U$46:$U$49,MATCH(3,$AG$46:$AG$49,0))</f>
        <v>Irán</v>
      </c>
      <c r="C136" s="3">
        <f>INDEX($V$46:$V$49,MATCH(3,$AG$46:$AG$49,0))</f>
        <v>0</v>
      </c>
      <c r="D136" s="3">
        <f>INDEX($AB$46:$AB$49,MATCH(3,$AG$46:$AG$49,0))</f>
        <v>0</v>
      </c>
      <c r="E136" s="3">
        <f>INDEX($AC$46:$AC$49,MATCH(3,$AG$46:$AG$49,0))</f>
        <v>0</v>
      </c>
      <c r="F136" s="4">
        <v>3</v>
      </c>
      <c r="G136" s="4" t="str">
        <f>INDEX($U$53:$U$56,MATCH(3,$AG$53:$AG$56,0))</f>
        <v>España</v>
      </c>
      <c r="H136" s="4">
        <f>INDEX($V$53:$V$56,MATCH(3,$AG$53:$AG$56,0))</f>
        <v>0</v>
      </c>
      <c r="I136" s="4">
        <f>INDEX($AB$53:$AB$56,MATCH(3,$AG$53:$AG$56,0))</f>
        <v>0</v>
      </c>
      <c r="J136" s="4">
        <f>INDEX($AC$53:$AC$56,MATCH(3,$AG$53:$AG$56,0))</f>
        <v>0</v>
      </c>
      <c r="K136" s="5">
        <v>3</v>
      </c>
      <c r="L136" s="5" t="str">
        <f>INDEX($U$60:$U$63,MATCH(3,$AG$60:$AG$63,0))</f>
        <v>Noruega</v>
      </c>
      <c r="M136" s="5">
        <f>INDEX($V$60:$V$63,MATCH(3,$AG$60:$AG$63,0))</f>
        <v>0</v>
      </c>
      <c r="N136" s="5">
        <f>INDEX($AB$60:$AB$63,MATCH(3,$AG$60:$AG$63,0))</f>
        <v>0</v>
      </c>
      <c r="O136" s="5">
        <f>INDEX($AC$60:$AC$63,MATCH(3,$AG$60:$AG$63,0))</f>
        <v>0</v>
      </c>
      <c r="AO136" s="11" t="s">
        <v>292</v>
      </c>
      <c r="AP136" s="11" t="s">
        <v>30</v>
      </c>
      <c r="AQ136" s="11" t="s">
        <v>31</v>
      </c>
      <c r="AR136" s="11" t="s">
        <v>36</v>
      </c>
      <c r="AS136" s="11" t="s">
        <v>50</v>
      </c>
      <c r="AT136" s="11" t="s">
        <v>28</v>
      </c>
      <c r="AU136" s="11" t="s">
        <v>34</v>
      </c>
      <c r="AV136" s="11" t="s">
        <v>35</v>
      </c>
      <c r="AW136" s="11" t="s">
        <v>60</v>
      </c>
    </row>
    <row r="137" spans="1:49" x14ac:dyDescent="0.25">
      <c r="A137" s="3">
        <v>4</v>
      </c>
      <c r="B137" s="3" t="str">
        <f>INDEX($U$46:$U$49,MATCH(4,$AG$46:$AG$49,0))</f>
        <v>Nueva Zelanda</v>
      </c>
      <c r="C137" s="3">
        <f>INDEX($V$46:$V$49,MATCH(4,$AG$46:$AG$49,0))</f>
        <v>0</v>
      </c>
      <c r="D137" s="3">
        <f>INDEX($AB$46:$AB$49,MATCH(4,$AG$46:$AG$49,0))</f>
        <v>0</v>
      </c>
      <c r="E137" s="3">
        <f>INDEX($AC$46:$AC$49,MATCH(4,$AG$46:$AG$49,0))</f>
        <v>0</v>
      </c>
      <c r="F137" s="4">
        <v>4</v>
      </c>
      <c r="G137" s="4" t="str">
        <f>INDEX($U$53:$U$56,MATCH(4,$AG$53:$AG$56,0))</f>
        <v>Uruguay</v>
      </c>
      <c r="H137" s="4">
        <f>INDEX($V$53:$V$56,MATCH(4,$AG$53:$AG$56,0))</f>
        <v>0</v>
      </c>
      <c r="I137" s="4">
        <f>INDEX($AB$53:$AB$56,MATCH(4,$AG$53:$AG$56,0))</f>
        <v>0</v>
      </c>
      <c r="J137" s="4">
        <f>INDEX($AC$53:$AC$56,MATCH(4,$AG$53:$AG$56,0))</f>
        <v>0</v>
      </c>
      <c r="K137" s="5">
        <v>4</v>
      </c>
      <c r="L137" s="5" t="str">
        <f>INDEX($U$60:$U$63,MATCH(4,$AG$60:$AG$63,0))</f>
        <v>Senegal</v>
      </c>
      <c r="M137" s="5">
        <f>INDEX($V$60:$V$63,MATCH(4,$AG$60:$AG$63,0))</f>
        <v>0</v>
      </c>
      <c r="N137" s="5">
        <f>INDEX($AB$60:$AB$63,MATCH(4,$AG$60:$AG$63,0))</f>
        <v>0</v>
      </c>
      <c r="O137" s="5">
        <f>INDEX($AC$60:$AC$63,MATCH(4,$AG$60:$AG$63,0))</f>
        <v>0</v>
      </c>
      <c r="AO137" s="11" t="s">
        <v>293</v>
      </c>
      <c r="AP137" s="11" t="s">
        <v>30</v>
      </c>
      <c r="AQ137" s="11" t="s">
        <v>31</v>
      </c>
      <c r="AR137" s="11" t="s">
        <v>36</v>
      </c>
      <c r="AS137" s="11" t="s">
        <v>55</v>
      </c>
      <c r="AT137" s="11" t="s">
        <v>28</v>
      </c>
      <c r="AU137" s="11" t="s">
        <v>34</v>
      </c>
      <c r="AV137" s="11" t="s">
        <v>35</v>
      </c>
      <c r="AW137" s="11" t="s">
        <v>60</v>
      </c>
    </row>
    <row r="138" spans="1:49" x14ac:dyDescent="0.25">
      <c r="AO138" s="11" t="s">
        <v>294</v>
      </c>
      <c r="AP138" s="11" t="s">
        <v>30</v>
      </c>
      <c r="AQ138" s="11" t="s">
        <v>35</v>
      </c>
      <c r="AR138" s="11" t="s">
        <v>36</v>
      </c>
      <c r="AS138" s="11" t="s">
        <v>33</v>
      </c>
      <c r="AT138" s="11" t="s">
        <v>28</v>
      </c>
      <c r="AU138" s="11" t="s">
        <v>34</v>
      </c>
      <c r="AV138" s="11" t="s">
        <v>50</v>
      </c>
      <c r="AW138" s="11" t="s">
        <v>46</v>
      </c>
    </row>
    <row r="139" spans="1:49" hidden="1" x14ac:dyDescent="0.25">
      <c r="AO139" s="11" t="s">
        <v>295</v>
      </c>
      <c r="AP139" s="11" t="s">
        <v>30</v>
      </c>
      <c r="AQ139" s="11" t="s">
        <v>35</v>
      </c>
      <c r="AR139" s="11" t="s">
        <v>33</v>
      </c>
      <c r="AS139" s="11" t="s">
        <v>55</v>
      </c>
      <c r="AT139" s="11" t="s">
        <v>28</v>
      </c>
      <c r="AU139" s="11" t="s">
        <v>34</v>
      </c>
      <c r="AV139" s="11" t="s">
        <v>36</v>
      </c>
      <c r="AW139" s="11" t="s">
        <v>46</v>
      </c>
    </row>
    <row r="140" spans="1:49" hidden="1" x14ac:dyDescent="0.25">
      <c r="A140" s="28" t="s">
        <v>159</v>
      </c>
      <c r="B140" s="29"/>
      <c r="C140" s="29"/>
      <c r="D140" s="29"/>
      <c r="E140" s="30"/>
      <c r="F140" s="28" t="s">
        <v>166</v>
      </c>
      <c r="G140" s="29"/>
      <c r="H140" s="29"/>
      <c r="I140" s="29"/>
      <c r="J140" s="30"/>
      <c r="K140" s="28" t="s">
        <v>170</v>
      </c>
      <c r="L140" s="29"/>
      <c r="M140" s="29"/>
      <c r="N140" s="29"/>
      <c r="O140" s="30"/>
      <c r="AO140" s="11" t="s">
        <v>296</v>
      </c>
      <c r="AP140" s="11" t="s">
        <v>30</v>
      </c>
      <c r="AQ140" s="11" t="s">
        <v>35</v>
      </c>
      <c r="AR140" s="11" t="s">
        <v>36</v>
      </c>
      <c r="AS140" s="11" t="s">
        <v>33</v>
      </c>
      <c r="AT140" s="11" t="s">
        <v>28</v>
      </c>
      <c r="AU140" s="11" t="s">
        <v>34</v>
      </c>
      <c r="AV140" s="11" t="s">
        <v>46</v>
      </c>
      <c r="AW140" s="11" t="s">
        <v>60</v>
      </c>
    </row>
    <row r="141" spans="1:49" hidden="1" x14ac:dyDescent="0.25">
      <c r="A141" s="21" t="s">
        <v>86</v>
      </c>
      <c r="B141" s="21" t="s">
        <v>4</v>
      </c>
      <c r="C141" s="21" t="s">
        <v>39</v>
      </c>
      <c r="D141" s="21" t="s">
        <v>6</v>
      </c>
      <c r="E141" s="21" t="s">
        <v>5</v>
      </c>
      <c r="F141" s="21" t="s">
        <v>86</v>
      </c>
      <c r="G141" s="21" t="s">
        <v>4</v>
      </c>
      <c r="H141" s="21" t="s">
        <v>39</v>
      </c>
      <c r="I141" s="21" t="s">
        <v>6</v>
      </c>
      <c r="J141" s="21" t="s">
        <v>5</v>
      </c>
      <c r="K141" s="21" t="s">
        <v>86</v>
      </c>
      <c r="L141" s="21" t="s">
        <v>4</v>
      </c>
      <c r="M141" s="21" t="s">
        <v>39</v>
      </c>
      <c r="N141" s="21" t="s">
        <v>6</v>
      </c>
      <c r="O141" s="21" t="s">
        <v>5</v>
      </c>
      <c r="AO141" s="11" t="s">
        <v>297</v>
      </c>
      <c r="AP141" s="11" t="s">
        <v>30</v>
      </c>
      <c r="AQ141" s="11" t="s">
        <v>35</v>
      </c>
      <c r="AR141" s="11" t="s">
        <v>33</v>
      </c>
      <c r="AS141" s="11" t="s">
        <v>55</v>
      </c>
      <c r="AT141" s="11" t="s">
        <v>28</v>
      </c>
      <c r="AU141" s="11" t="s">
        <v>34</v>
      </c>
      <c r="AV141" s="11" t="s">
        <v>50</v>
      </c>
      <c r="AW141" s="11" t="s">
        <v>36</v>
      </c>
    </row>
    <row r="142" spans="1:49" hidden="1" x14ac:dyDescent="0.25">
      <c r="A142" s="3">
        <v>1</v>
      </c>
      <c r="B142" s="3" t="str">
        <f>INDEX($U$67:$U$70,MATCH(1,$AG$67:$AG$70,0))</f>
        <v>Argelia</v>
      </c>
      <c r="C142" s="3">
        <f>INDEX($V$67:$V$70,MATCH(1,$AG$67:$AG$70,0))</f>
        <v>0</v>
      </c>
      <c r="D142" s="3">
        <f>INDEX($AB$67:$AB$70,MATCH(1,$AG$67:$AG$70,0))</f>
        <v>0</v>
      </c>
      <c r="E142" s="3">
        <f>INDEX($AC$67:$AC$70,MATCH(1,$AG$67:$AG$70,0))</f>
        <v>0</v>
      </c>
      <c r="F142" s="4">
        <v>1</v>
      </c>
      <c r="G142" s="4" t="str">
        <f>INDEX($U$74:$U$77,MATCH(1,$AG$74:$AG$77,0))</f>
        <v>Colombia</v>
      </c>
      <c r="H142" s="4">
        <f>INDEX($V$74:$V$77,MATCH(1,$AG$74:$AG$77,0))</f>
        <v>0</v>
      </c>
      <c r="I142" s="4">
        <f>INDEX($AB$74:$AB$77,MATCH(1,$AG$74:$AG$77,0))</f>
        <v>0</v>
      </c>
      <c r="J142" s="4">
        <f>INDEX($AC$74:$AC$77,MATCH(1,$AG$74:$AG$77,0))</f>
        <v>0</v>
      </c>
      <c r="K142" s="5">
        <v>1</v>
      </c>
      <c r="L142" s="5" t="str">
        <f>INDEX($U$81:$U$84,MATCH(1,$AG$81:$AG$84,0))</f>
        <v>Croacia</v>
      </c>
      <c r="M142" s="5">
        <f>INDEX($V$81:$V$84,MATCH(1,$AG$81:$AG$84,0))</f>
        <v>0</v>
      </c>
      <c r="N142" s="5">
        <f>INDEX($AB$81:$AB$84,MATCH(1,$AG$81:$AG$84,0))</f>
        <v>0</v>
      </c>
      <c r="O142" s="5">
        <f>INDEX($AC$81:$AC$84,MATCH(1,$AG$81:$AG$84,0))</f>
        <v>0</v>
      </c>
      <c r="AO142" s="11" t="s">
        <v>298</v>
      </c>
      <c r="AP142" s="11" t="s">
        <v>30</v>
      </c>
      <c r="AQ142" s="11" t="s">
        <v>35</v>
      </c>
      <c r="AR142" s="11" t="s">
        <v>36</v>
      </c>
      <c r="AS142" s="11" t="s">
        <v>33</v>
      </c>
      <c r="AT142" s="11" t="s">
        <v>28</v>
      </c>
      <c r="AU142" s="11" t="s">
        <v>34</v>
      </c>
      <c r="AV142" s="11" t="s">
        <v>50</v>
      </c>
      <c r="AW142" s="11" t="s">
        <v>60</v>
      </c>
    </row>
    <row r="143" spans="1:49" hidden="1" x14ac:dyDescent="0.25">
      <c r="A143" s="3">
        <v>2</v>
      </c>
      <c r="B143" s="3" t="str">
        <f>INDEX($U$67:$U$70,MATCH(2,$AG$67:$AG$70,0))</f>
        <v>Argentina</v>
      </c>
      <c r="C143" s="3">
        <f>INDEX($V$67:$V$70,MATCH(2,$AG$67:$AG$70,0))</f>
        <v>0</v>
      </c>
      <c r="D143" s="3">
        <f>INDEX($AB$67:$AB$70,MATCH(2,$AG$67:$AG$70,0))</f>
        <v>0</v>
      </c>
      <c r="E143" s="3">
        <f>INDEX($AC$67:$AC$70,MATCH(2,$AG$67:$AG$70,0))</f>
        <v>0</v>
      </c>
      <c r="F143" s="4">
        <v>2</v>
      </c>
      <c r="G143" s="4" t="str">
        <f>INDEX($U$74:$U$77,MATCH(2,$AG$74:$AG$77,0))</f>
        <v>Portugal</v>
      </c>
      <c r="H143" s="4">
        <f>INDEX($V$74:$V$77,MATCH(2,$AG$74:$AG$77,0))</f>
        <v>0</v>
      </c>
      <c r="I143" s="4">
        <f>INDEX($AB$74:$AB$77,MATCH(2,$AG$74:$AG$77,0))</f>
        <v>0</v>
      </c>
      <c r="J143" s="4">
        <f>INDEX($AC$74:$AC$77,MATCH(2,$AG$74:$AG$77,0))</f>
        <v>0</v>
      </c>
      <c r="K143" s="5">
        <v>2</v>
      </c>
      <c r="L143" s="5" t="str">
        <f>INDEX($U$81:$U$84,MATCH(2,$AG$81:$AG$84,0))</f>
        <v>Ghana</v>
      </c>
      <c r="M143" s="5">
        <f>INDEX($V$81:$V$84,MATCH(2,$AG$81:$AG$84,0))</f>
        <v>0</v>
      </c>
      <c r="N143" s="5">
        <f>INDEX($AB$81:$AB$84,MATCH(2,$AG$81:$AG$84,0))</f>
        <v>0</v>
      </c>
      <c r="O143" s="5">
        <f>INDEX($AC$81:$AC$84,MATCH(2,$AG$81:$AG$84,0))</f>
        <v>0</v>
      </c>
      <c r="AO143" s="11" t="s">
        <v>299</v>
      </c>
      <c r="AP143" s="11" t="s">
        <v>30</v>
      </c>
      <c r="AQ143" s="11" t="s">
        <v>35</v>
      </c>
      <c r="AR143" s="11" t="s">
        <v>33</v>
      </c>
      <c r="AS143" s="11" t="s">
        <v>55</v>
      </c>
      <c r="AT143" s="11" t="s">
        <v>28</v>
      </c>
      <c r="AU143" s="11" t="s">
        <v>34</v>
      </c>
      <c r="AV143" s="11" t="s">
        <v>36</v>
      </c>
      <c r="AW143" s="11" t="s">
        <v>60</v>
      </c>
    </row>
    <row r="144" spans="1:49" hidden="1" x14ac:dyDescent="0.25">
      <c r="A144" s="3">
        <v>3</v>
      </c>
      <c r="B144" s="3" t="str">
        <f>INDEX($U$67:$U$70,MATCH(3,$AG$67:$AG$70,0))</f>
        <v>Austria</v>
      </c>
      <c r="C144" s="3">
        <f>INDEX($V$67:$V$70,MATCH(3,$AG$67:$AG$70,0))</f>
        <v>0</v>
      </c>
      <c r="D144" s="3">
        <f>INDEX($AB$67:$AB$70,MATCH(3,$AG$67:$AG$70,0))</f>
        <v>0</v>
      </c>
      <c r="E144" s="3">
        <f>INDEX($AC$67:$AC$70,MATCH(3,$AG$67:$AG$70,0))</f>
        <v>0</v>
      </c>
      <c r="F144" s="4">
        <v>3</v>
      </c>
      <c r="G144" s="4" t="str">
        <f>INDEX($U$74:$U$77,MATCH(3,$AG$74:$AG$77,0))</f>
        <v>RD Congo</v>
      </c>
      <c r="H144" s="4">
        <f>INDEX($V$74:$V$77,MATCH(3,$AG$74:$AG$77,0))</f>
        <v>0</v>
      </c>
      <c r="I144" s="4">
        <f>INDEX($AB$74:$AB$77,MATCH(3,$AG$74:$AG$77,0))</f>
        <v>0</v>
      </c>
      <c r="J144" s="4">
        <f>INDEX($AC$74:$AC$77,MATCH(3,$AG$74:$AG$77,0))</f>
        <v>0</v>
      </c>
      <c r="K144" s="5">
        <v>3</v>
      </c>
      <c r="L144" s="5" t="str">
        <f>INDEX($U$81:$U$84,MATCH(3,$AG$81:$AG$84,0))</f>
        <v>Inglaterra</v>
      </c>
      <c r="M144" s="5">
        <f>INDEX($V$81:$V$84,MATCH(3,$AG$81:$AG$84,0))</f>
        <v>0</v>
      </c>
      <c r="N144" s="5">
        <f>INDEX($AB$81:$AB$84,MATCH(3,$AG$81:$AG$84,0))</f>
        <v>0</v>
      </c>
      <c r="O144" s="5">
        <f>INDEX($AC$81:$AC$84,MATCH(3,$AG$81:$AG$84,0))</f>
        <v>0</v>
      </c>
      <c r="AO144" s="11" t="s">
        <v>300</v>
      </c>
      <c r="AP144" s="11" t="s">
        <v>30</v>
      </c>
      <c r="AQ144" s="11" t="s">
        <v>35</v>
      </c>
      <c r="AR144" s="11" t="s">
        <v>36</v>
      </c>
      <c r="AS144" s="11" t="s">
        <v>55</v>
      </c>
      <c r="AT144" s="11" t="s">
        <v>28</v>
      </c>
      <c r="AU144" s="11" t="s">
        <v>34</v>
      </c>
      <c r="AV144" s="11" t="s">
        <v>50</v>
      </c>
      <c r="AW144" s="11" t="s">
        <v>46</v>
      </c>
    </row>
    <row r="145" spans="1:49" hidden="1" x14ac:dyDescent="0.25">
      <c r="A145" s="3">
        <v>4</v>
      </c>
      <c r="B145" s="3" t="str">
        <f>INDEX($U$67:$U$70,MATCH(4,$AG$67:$AG$70,0))</f>
        <v>Jordania</v>
      </c>
      <c r="C145" s="3">
        <f>INDEX($V$67:$V$70,MATCH(4,$AG$67:$AG$70,0))</f>
        <v>0</v>
      </c>
      <c r="D145" s="3">
        <f>INDEX($AB$67:$AB$70,MATCH(4,$AG$67:$AG$70,0))</f>
        <v>0</v>
      </c>
      <c r="E145" s="3">
        <f>INDEX($AC$67:$AC$70,MATCH(4,$AG$67:$AG$70,0))</f>
        <v>0</v>
      </c>
      <c r="F145" s="4">
        <v>4</v>
      </c>
      <c r="G145" s="4" t="str">
        <f>INDEX($U$74:$U$77,MATCH(4,$AG$74:$AG$77,0))</f>
        <v>Uzbekistán</v>
      </c>
      <c r="H145" s="4">
        <f>INDEX($V$74:$V$77,MATCH(4,$AG$74:$AG$77,0))</f>
        <v>0</v>
      </c>
      <c r="I145" s="4">
        <f>INDEX($AB$74:$AB$77,MATCH(4,$AG$74:$AG$77,0))</f>
        <v>0</v>
      </c>
      <c r="J145" s="4">
        <f>INDEX($AC$74:$AC$77,MATCH(4,$AG$74:$AG$77,0))</f>
        <v>0</v>
      </c>
      <c r="K145" s="5">
        <v>4</v>
      </c>
      <c r="L145" s="5" t="str">
        <f>INDEX($U$81:$U$84,MATCH(4,$AG$81:$AG$84,0))</f>
        <v>Panamá</v>
      </c>
      <c r="M145" s="5">
        <f>INDEX($V$81:$V$84,MATCH(4,$AG$81:$AG$84,0))</f>
        <v>0</v>
      </c>
      <c r="N145" s="5">
        <f>INDEX($AB$81:$AB$84,MATCH(4,$AG$81:$AG$84,0))</f>
        <v>0</v>
      </c>
      <c r="O145" s="5">
        <f>INDEX($AC$81:$AC$84,MATCH(4,$AG$81:$AG$84,0))</f>
        <v>0</v>
      </c>
      <c r="AO145" s="11" t="s">
        <v>301</v>
      </c>
      <c r="AP145" s="11" t="s">
        <v>30</v>
      </c>
      <c r="AQ145" s="11" t="s">
        <v>35</v>
      </c>
      <c r="AR145" s="11" t="s">
        <v>36</v>
      </c>
      <c r="AS145" s="11" t="s">
        <v>46</v>
      </c>
      <c r="AT145" s="11" t="s">
        <v>28</v>
      </c>
      <c r="AU145" s="11" t="s">
        <v>34</v>
      </c>
      <c r="AV145" s="11" t="s">
        <v>50</v>
      </c>
      <c r="AW145" s="11" t="s">
        <v>60</v>
      </c>
    </row>
    <row r="146" spans="1:49" hidden="1" x14ac:dyDescent="0.25">
      <c r="AO146" s="11" t="s">
        <v>302</v>
      </c>
      <c r="AP146" s="11" t="s">
        <v>30</v>
      </c>
      <c r="AQ146" s="11" t="s">
        <v>35</v>
      </c>
      <c r="AR146" s="11" t="s">
        <v>36</v>
      </c>
      <c r="AS146" s="11" t="s">
        <v>55</v>
      </c>
      <c r="AT146" s="11" t="s">
        <v>28</v>
      </c>
      <c r="AU146" s="11" t="s">
        <v>34</v>
      </c>
      <c r="AV146" s="11" t="s">
        <v>46</v>
      </c>
      <c r="AW146" s="11" t="s">
        <v>60</v>
      </c>
    </row>
    <row r="147" spans="1:49" hidden="1" x14ac:dyDescent="0.25">
      <c r="AO147" s="11" t="s">
        <v>303</v>
      </c>
      <c r="AP147" s="11" t="s">
        <v>30</v>
      </c>
      <c r="AQ147" s="11" t="s">
        <v>35</v>
      </c>
      <c r="AR147" s="11" t="s">
        <v>36</v>
      </c>
      <c r="AS147" s="11" t="s">
        <v>55</v>
      </c>
      <c r="AT147" s="11" t="s">
        <v>28</v>
      </c>
      <c r="AU147" s="11" t="s">
        <v>34</v>
      </c>
      <c r="AV147" s="11" t="s">
        <v>50</v>
      </c>
      <c r="AW147" s="11" t="s">
        <v>60</v>
      </c>
    </row>
    <row r="148" spans="1:49" hidden="1" x14ac:dyDescent="0.25">
      <c r="AO148" s="11" t="s">
        <v>304</v>
      </c>
      <c r="AP148" s="11" t="s">
        <v>30</v>
      </c>
      <c r="AQ148" s="11" t="s">
        <v>31</v>
      </c>
      <c r="AR148" s="11" t="s">
        <v>36</v>
      </c>
      <c r="AS148" s="11" t="s">
        <v>33</v>
      </c>
      <c r="AT148" s="11" t="s">
        <v>28</v>
      </c>
      <c r="AU148" s="11" t="s">
        <v>34</v>
      </c>
      <c r="AV148" s="11" t="s">
        <v>50</v>
      </c>
      <c r="AW148" s="11" t="s">
        <v>46</v>
      </c>
    </row>
    <row r="149" spans="1:49" hidden="1" x14ac:dyDescent="0.25">
      <c r="AO149" s="11" t="s">
        <v>305</v>
      </c>
      <c r="AP149" s="11" t="s">
        <v>30</v>
      </c>
      <c r="AQ149" s="11" t="s">
        <v>31</v>
      </c>
      <c r="AR149" s="11" t="s">
        <v>33</v>
      </c>
      <c r="AS149" s="11" t="s">
        <v>55</v>
      </c>
      <c r="AT149" s="11" t="s">
        <v>28</v>
      </c>
      <c r="AU149" s="11" t="s">
        <v>34</v>
      </c>
      <c r="AV149" s="11" t="s">
        <v>36</v>
      </c>
      <c r="AW149" s="11" t="s">
        <v>46</v>
      </c>
    </row>
    <row r="150" spans="1:49" hidden="1" x14ac:dyDescent="0.25">
      <c r="A150" s="28" t="s">
        <v>82</v>
      </c>
      <c r="B150" s="29"/>
      <c r="C150" s="29"/>
      <c r="D150" s="29"/>
      <c r="E150" s="29"/>
      <c r="F150" s="30"/>
      <c r="AO150" s="11" t="s">
        <v>306</v>
      </c>
      <c r="AP150" s="11" t="s">
        <v>30</v>
      </c>
      <c r="AQ150" s="11" t="s">
        <v>31</v>
      </c>
      <c r="AR150" s="11" t="s">
        <v>36</v>
      </c>
      <c r="AS150" s="11" t="s">
        <v>33</v>
      </c>
      <c r="AT150" s="11" t="s">
        <v>28</v>
      </c>
      <c r="AU150" s="11" t="s">
        <v>34</v>
      </c>
      <c r="AV150" s="11" t="s">
        <v>46</v>
      </c>
      <c r="AW150" s="11" t="s">
        <v>60</v>
      </c>
    </row>
    <row r="151" spans="1:49" hidden="1" x14ac:dyDescent="0.25">
      <c r="A151" s="21" t="s">
        <v>87</v>
      </c>
      <c r="B151" s="21" t="s">
        <v>3</v>
      </c>
      <c r="C151" s="21" t="s">
        <v>4</v>
      </c>
      <c r="D151" s="21" t="s">
        <v>5</v>
      </c>
      <c r="E151" s="21" t="s">
        <v>6</v>
      </c>
      <c r="F151" s="21" t="s">
        <v>7</v>
      </c>
      <c r="AO151" s="11" t="s">
        <v>307</v>
      </c>
      <c r="AP151" s="11" t="s">
        <v>30</v>
      </c>
      <c r="AQ151" s="11" t="s">
        <v>31</v>
      </c>
      <c r="AR151" s="11" t="s">
        <v>33</v>
      </c>
      <c r="AS151" s="11" t="s">
        <v>55</v>
      </c>
      <c r="AT151" s="11" t="s">
        <v>28</v>
      </c>
      <c r="AU151" s="11" t="s">
        <v>34</v>
      </c>
      <c r="AV151" s="11" t="s">
        <v>50</v>
      </c>
      <c r="AW151" s="11" t="s">
        <v>36</v>
      </c>
    </row>
    <row r="152" spans="1:49" hidden="1" x14ac:dyDescent="0.25">
      <c r="A152" s="2">
        <f>1</f>
        <v>1</v>
      </c>
      <c r="B152" s="2" t="str">
        <f>INDEX($AH$2:$AH$13,MATCH(1,$AM$2:$AM$13,0))</f>
        <v>J</v>
      </c>
      <c r="C152" s="2" t="str">
        <f>INDEX($AI$2:$AI$13,MATCH(1,$AM$2:$AM$13,0))</f>
        <v>Austria</v>
      </c>
      <c r="D152" s="2">
        <f>INDEX($AJ$2:$AJ$13,MATCH(1,$AM$2:$AM$13,0))</f>
        <v>0</v>
      </c>
      <c r="E152" s="2">
        <f>INDEX($AK$2:$AK$13,MATCH(1,$AM$2:$AM$13,0))</f>
        <v>0</v>
      </c>
      <c r="F152" s="2">
        <f>INDEX($AL$2:$AL$13,MATCH(1,$AM$2:$AM$13,0))</f>
        <v>0</v>
      </c>
      <c r="AO152" s="11" t="s">
        <v>308</v>
      </c>
      <c r="AP152" s="11" t="s">
        <v>30</v>
      </c>
      <c r="AQ152" s="11" t="s">
        <v>31</v>
      </c>
      <c r="AR152" s="11" t="s">
        <v>36</v>
      </c>
      <c r="AS152" s="11" t="s">
        <v>33</v>
      </c>
      <c r="AT152" s="11" t="s">
        <v>28</v>
      </c>
      <c r="AU152" s="11" t="s">
        <v>34</v>
      </c>
      <c r="AV152" s="11" t="s">
        <v>50</v>
      </c>
      <c r="AW152" s="11" t="s">
        <v>60</v>
      </c>
    </row>
    <row r="153" spans="1:49" hidden="1" x14ac:dyDescent="0.25">
      <c r="A153" s="2">
        <f>2</f>
        <v>2</v>
      </c>
      <c r="B153" s="2" t="str">
        <f>INDEX($AH$2:$AH$13,MATCH(2,$AM$2:$AM$13,0))</f>
        <v>B</v>
      </c>
      <c r="C153" s="2" t="str">
        <f>INDEX($AI$2:$AI$13,MATCH(2,$AM$2:$AM$13,0))</f>
        <v>Catar</v>
      </c>
      <c r="D153" s="2">
        <f>INDEX($AJ$2:$AJ$13,MATCH(2,$AM$2:$AM$13,0))</f>
        <v>0</v>
      </c>
      <c r="E153" s="2">
        <f>INDEX($AK$2:$AK$13,MATCH(2,$AM$2:$AM$13,0))</f>
        <v>0</v>
      </c>
      <c r="F153" s="2">
        <f>INDEX($AL$2:$AL$13,MATCH(2,$AM$2:$AM$13,0))</f>
        <v>0</v>
      </c>
      <c r="AO153" s="11" t="s">
        <v>309</v>
      </c>
      <c r="AP153" s="11" t="s">
        <v>30</v>
      </c>
      <c r="AQ153" s="11" t="s">
        <v>31</v>
      </c>
      <c r="AR153" s="11" t="s">
        <v>33</v>
      </c>
      <c r="AS153" s="11" t="s">
        <v>55</v>
      </c>
      <c r="AT153" s="11" t="s">
        <v>28</v>
      </c>
      <c r="AU153" s="11" t="s">
        <v>34</v>
      </c>
      <c r="AV153" s="11" t="s">
        <v>36</v>
      </c>
      <c r="AW153" s="11" t="s">
        <v>60</v>
      </c>
    </row>
    <row r="154" spans="1:49" hidden="1" x14ac:dyDescent="0.25">
      <c r="A154" s="2">
        <f>3</f>
        <v>3</v>
      </c>
      <c r="B154" s="2" t="str">
        <f>INDEX($AH$2:$AH$13,MATCH(3,$AM$2:$AM$13,0))</f>
        <v>E</v>
      </c>
      <c r="C154" s="2" t="str">
        <f>INDEX($AI$2:$AI$13,MATCH(3,$AM$2:$AM$13,0))</f>
        <v>Curazao</v>
      </c>
      <c r="D154" s="2">
        <f>INDEX($AJ$2:$AJ$13,MATCH(3,$AM$2:$AM$13,0))</f>
        <v>0</v>
      </c>
      <c r="E154" s="2">
        <f>INDEX($AK$2:$AK$13,MATCH(3,$AM$2:$AM$13,0))</f>
        <v>0</v>
      </c>
      <c r="F154" s="2">
        <f>INDEX($AL$2:$AL$13,MATCH(3,$AM$2:$AM$13,0))</f>
        <v>0</v>
      </c>
      <c r="AO154" s="11" t="s">
        <v>310</v>
      </c>
      <c r="AP154" s="11" t="s">
        <v>30</v>
      </c>
      <c r="AQ154" s="11" t="s">
        <v>31</v>
      </c>
      <c r="AR154" s="11" t="s">
        <v>36</v>
      </c>
      <c r="AS154" s="11" t="s">
        <v>55</v>
      </c>
      <c r="AT154" s="11" t="s">
        <v>28</v>
      </c>
      <c r="AU154" s="11" t="s">
        <v>34</v>
      </c>
      <c r="AV154" s="11" t="s">
        <v>50</v>
      </c>
      <c r="AW154" s="11" t="s">
        <v>46</v>
      </c>
    </row>
    <row r="155" spans="1:49" hidden="1" x14ac:dyDescent="0.25">
      <c r="A155" s="2">
        <f>4</f>
        <v>4</v>
      </c>
      <c r="B155" s="2" t="str">
        <f>INDEX($AH$2:$AH$13,MATCH(4,$AM$2:$AM$13,0))</f>
        <v>H</v>
      </c>
      <c r="C155" s="2" t="str">
        <f>INDEX($AI$2:$AI$13,MATCH(4,$AM$2:$AM$13,0))</f>
        <v>España</v>
      </c>
      <c r="D155" s="2">
        <f>INDEX($AJ$2:$AJ$13,MATCH(4,$AM$2:$AM$13,0))</f>
        <v>0</v>
      </c>
      <c r="E155" s="2">
        <f>INDEX($AK$2:$AK$13,MATCH(4,$AM$2:$AM$13,0))</f>
        <v>0</v>
      </c>
      <c r="F155" s="2">
        <f>INDEX($AL$2:$AL$13,MATCH(4,$AM$2:$AM$13,0))</f>
        <v>0</v>
      </c>
      <c r="AO155" s="11" t="s">
        <v>311</v>
      </c>
      <c r="AP155" s="11" t="s">
        <v>30</v>
      </c>
      <c r="AQ155" s="11" t="s">
        <v>31</v>
      </c>
      <c r="AR155" s="11" t="s">
        <v>36</v>
      </c>
      <c r="AS155" s="11" t="s">
        <v>46</v>
      </c>
      <c r="AT155" s="11" t="s">
        <v>28</v>
      </c>
      <c r="AU155" s="11" t="s">
        <v>34</v>
      </c>
      <c r="AV155" s="11" t="s">
        <v>50</v>
      </c>
      <c r="AW155" s="11" t="s">
        <v>60</v>
      </c>
    </row>
    <row r="156" spans="1:49" hidden="1" x14ac:dyDescent="0.25">
      <c r="A156" s="2">
        <f>5</f>
        <v>5</v>
      </c>
      <c r="B156" s="2" t="str">
        <f>INDEX($AH$2:$AH$13,MATCH(5,$AM$2:$AM$13,0))</f>
        <v>C</v>
      </c>
      <c r="C156" s="2" t="str">
        <f>INDEX($AI$2:$AI$13,MATCH(5,$AM$2:$AM$13,0))</f>
        <v>Haití</v>
      </c>
      <c r="D156" s="2">
        <f>INDEX($AJ$2:$AJ$13,MATCH(5,$AM$2:$AM$13,0))</f>
        <v>0</v>
      </c>
      <c r="E156" s="2">
        <f>INDEX($AK$2:$AK$13,MATCH(5,$AM$2:$AM$13,0))</f>
        <v>0</v>
      </c>
      <c r="F156" s="2">
        <f>INDEX($AL$2:$AL$13,MATCH(5,$AM$2:$AM$13,0))</f>
        <v>0</v>
      </c>
      <c r="AO156" s="11" t="s">
        <v>312</v>
      </c>
      <c r="AP156" s="11" t="s">
        <v>30</v>
      </c>
      <c r="AQ156" s="11" t="s">
        <v>31</v>
      </c>
      <c r="AR156" s="11" t="s">
        <v>36</v>
      </c>
      <c r="AS156" s="11" t="s">
        <v>55</v>
      </c>
      <c r="AT156" s="11" t="s">
        <v>28</v>
      </c>
      <c r="AU156" s="11" t="s">
        <v>34</v>
      </c>
      <c r="AV156" s="11" t="s">
        <v>46</v>
      </c>
      <c r="AW156" s="11" t="s">
        <v>60</v>
      </c>
    </row>
    <row r="157" spans="1:49" hidden="1" x14ac:dyDescent="0.25">
      <c r="A157" s="2">
        <f>6</f>
        <v>6</v>
      </c>
      <c r="B157" s="2" t="str">
        <f>INDEX($AH$2:$AH$13,MATCH(6,$AM$2:$AM$13,0))</f>
        <v>L</v>
      </c>
      <c r="C157" s="2" t="str">
        <f>INDEX($AI$2:$AI$13,MATCH(6,$AM$2:$AM$13,0))</f>
        <v>Inglaterra</v>
      </c>
      <c r="D157" s="2">
        <f>INDEX($AJ$2:$AJ$13,MATCH(6,$AM$2:$AM$13,0))</f>
        <v>0</v>
      </c>
      <c r="E157" s="2">
        <f>INDEX($AK$2:$AK$13,MATCH(6,$AM$2:$AM$13,0))</f>
        <v>0</v>
      </c>
      <c r="F157" s="2">
        <f>INDEX($AL$2:$AL$13,MATCH(6,$AM$2:$AM$13,0))</f>
        <v>0</v>
      </c>
      <c r="AO157" s="11" t="s">
        <v>313</v>
      </c>
      <c r="AP157" s="11" t="s">
        <v>30</v>
      </c>
      <c r="AQ157" s="11" t="s">
        <v>31</v>
      </c>
      <c r="AR157" s="11" t="s">
        <v>36</v>
      </c>
      <c r="AS157" s="11" t="s">
        <v>55</v>
      </c>
      <c r="AT157" s="11" t="s">
        <v>28</v>
      </c>
      <c r="AU157" s="11" t="s">
        <v>34</v>
      </c>
      <c r="AV157" s="11" t="s">
        <v>50</v>
      </c>
      <c r="AW157" s="11" t="s">
        <v>60</v>
      </c>
    </row>
    <row r="158" spans="1:49" hidden="1" x14ac:dyDescent="0.25">
      <c r="A158" s="2">
        <f>7</f>
        <v>7</v>
      </c>
      <c r="B158" s="2" t="str">
        <f>INDEX($AH$2:$AH$13,MATCH(7,$AM$2:$AM$13,0))</f>
        <v>G</v>
      </c>
      <c r="C158" s="2" t="str">
        <f>INDEX($AI$2:$AI$13,MATCH(7,$AM$2:$AM$13,0))</f>
        <v>Irán</v>
      </c>
      <c r="D158" s="2">
        <f>INDEX($AJ$2:$AJ$13,MATCH(7,$AM$2:$AM$13,0))</f>
        <v>0</v>
      </c>
      <c r="E158" s="2">
        <f>INDEX($AK$2:$AK$13,MATCH(7,$AM$2:$AM$13,0))</f>
        <v>0</v>
      </c>
      <c r="F158" s="2">
        <f>INDEX($AL$2:$AL$13,MATCH(7,$AM$2:$AM$13,0))</f>
        <v>0</v>
      </c>
      <c r="AO158" s="11" t="s">
        <v>314</v>
      </c>
      <c r="AP158" s="11" t="s">
        <v>30</v>
      </c>
      <c r="AQ158" s="11" t="s">
        <v>33</v>
      </c>
      <c r="AR158" s="11" t="s">
        <v>36</v>
      </c>
      <c r="AS158" s="11" t="s">
        <v>55</v>
      </c>
      <c r="AT158" s="11" t="s">
        <v>28</v>
      </c>
      <c r="AU158" s="11" t="s">
        <v>34</v>
      </c>
      <c r="AV158" s="11" t="s">
        <v>50</v>
      </c>
      <c r="AW158" s="11" t="s">
        <v>46</v>
      </c>
    </row>
    <row r="159" spans="1:49" hidden="1" x14ac:dyDescent="0.25">
      <c r="A159" s="2">
        <f>8</f>
        <v>8</v>
      </c>
      <c r="B159" s="2" t="str">
        <f>INDEX($AH$2:$AH$13,MATCH(8,$AM$2:$AM$13,0))</f>
        <v>I</v>
      </c>
      <c r="C159" s="2" t="str">
        <f>INDEX($AI$2:$AI$13,MATCH(8,$AM$2:$AM$13,0))</f>
        <v>Noruega</v>
      </c>
      <c r="D159" s="2">
        <f>INDEX($AJ$2:$AJ$13,MATCH(8,$AM$2:$AM$13,0))</f>
        <v>0</v>
      </c>
      <c r="E159" s="2">
        <f>INDEX($AK$2:$AK$13,MATCH(8,$AM$2:$AM$13,0))</f>
        <v>0</v>
      </c>
      <c r="F159" s="2">
        <f>INDEX($AL$2:$AL$13,MATCH(8,$AM$2:$AM$13,0))</f>
        <v>0</v>
      </c>
      <c r="AO159" s="11" t="s">
        <v>315</v>
      </c>
      <c r="AP159" s="11" t="s">
        <v>30</v>
      </c>
      <c r="AQ159" s="11" t="s">
        <v>33</v>
      </c>
      <c r="AR159" s="11" t="s">
        <v>36</v>
      </c>
      <c r="AS159" s="11" t="s">
        <v>46</v>
      </c>
      <c r="AT159" s="11" t="s">
        <v>28</v>
      </c>
      <c r="AU159" s="11" t="s">
        <v>34</v>
      </c>
      <c r="AV159" s="11" t="s">
        <v>50</v>
      </c>
      <c r="AW159" s="11" t="s">
        <v>60</v>
      </c>
    </row>
    <row r="160" spans="1:49" hidden="1" x14ac:dyDescent="0.25">
      <c r="A160" s="2">
        <f>9</f>
        <v>9</v>
      </c>
      <c r="B160" s="2" t="str">
        <f>INDEX($AH$2:$AH$13,MATCH(9,$AM$2:$AM$13,0))</f>
        <v>D</v>
      </c>
      <c r="C160" s="2" t="str">
        <f>INDEX($AI$2:$AI$13,MATCH(9,$AM$2:$AM$13,0))</f>
        <v>Paraguay</v>
      </c>
      <c r="D160" s="2">
        <f>INDEX($AJ$2:$AJ$13,MATCH(9,$AM$2:$AM$13,0))</f>
        <v>0</v>
      </c>
      <c r="E160" s="2">
        <f>INDEX($AK$2:$AK$13,MATCH(9,$AM$2:$AM$13,0))</f>
        <v>0</v>
      </c>
      <c r="F160" s="2">
        <f>INDEX($AL$2:$AL$13,MATCH(9,$AM$2:$AM$13,0))</f>
        <v>0</v>
      </c>
      <c r="AO160" s="11" t="s">
        <v>316</v>
      </c>
      <c r="AP160" s="11" t="s">
        <v>30</v>
      </c>
      <c r="AQ160" s="11" t="s">
        <v>33</v>
      </c>
      <c r="AR160" s="11" t="s">
        <v>36</v>
      </c>
      <c r="AS160" s="11" t="s">
        <v>55</v>
      </c>
      <c r="AT160" s="11" t="s">
        <v>28</v>
      </c>
      <c r="AU160" s="11" t="s">
        <v>34</v>
      </c>
      <c r="AV160" s="11" t="s">
        <v>46</v>
      </c>
      <c r="AW160" s="11" t="s">
        <v>60</v>
      </c>
    </row>
    <row r="161" spans="1:49" hidden="1" x14ac:dyDescent="0.25">
      <c r="A161" s="2">
        <f>10</f>
        <v>10</v>
      </c>
      <c r="B161" s="2" t="str">
        <f>INDEX($AH$2:$AH$13,MATCH(10,$AM$2:$AM$13,0))</f>
        <v>K</v>
      </c>
      <c r="C161" s="2" t="str">
        <f>INDEX($AI$2:$AI$13,MATCH(10,$AM$2:$AM$13,0))</f>
        <v>RD Congo</v>
      </c>
      <c r="D161" s="2">
        <f>INDEX($AJ$2:$AJ$13,MATCH(10,$AM$2:$AM$13,0))</f>
        <v>0</v>
      </c>
      <c r="E161" s="2">
        <f>INDEX($AK$2:$AK$13,MATCH(10,$AM$2:$AM$13,0))</f>
        <v>0</v>
      </c>
      <c r="F161" s="2">
        <f>INDEX($AL$2:$AL$13,MATCH(10,$AM$2:$AM$13,0))</f>
        <v>0</v>
      </c>
      <c r="AO161" s="11" t="s">
        <v>317</v>
      </c>
      <c r="AP161" s="11" t="s">
        <v>30</v>
      </c>
      <c r="AQ161" s="11" t="s">
        <v>33</v>
      </c>
      <c r="AR161" s="11" t="s">
        <v>36</v>
      </c>
      <c r="AS161" s="11" t="s">
        <v>55</v>
      </c>
      <c r="AT161" s="11" t="s">
        <v>28</v>
      </c>
      <c r="AU161" s="11" t="s">
        <v>34</v>
      </c>
      <c r="AV161" s="11" t="s">
        <v>50</v>
      </c>
      <c r="AW161" s="11" t="s">
        <v>60</v>
      </c>
    </row>
    <row r="162" spans="1:49" hidden="1" x14ac:dyDescent="0.25">
      <c r="A162" s="2">
        <f>11</f>
        <v>11</v>
      </c>
      <c r="B162" s="2" t="str">
        <f>INDEX($AH$2:$AH$13,MATCH(11,$AM$2:$AM$13,0))</f>
        <v>A</v>
      </c>
      <c r="C162" s="2" t="str">
        <f>INDEX($AI$2:$AI$13,MATCH(11,$AM$2:$AM$13,0))</f>
        <v>República Checa</v>
      </c>
      <c r="D162" s="2">
        <f>INDEX($AJ$2:$AJ$13,MATCH(11,$AM$2:$AM$13,0))</f>
        <v>0</v>
      </c>
      <c r="E162" s="2">
        <f>INDEX($AK$2:$AK$13,MATCH(11,$AM$2:$AM$13,0))</f>
        <v>0</v>
      </c>
      <c r="F162" s="2">
        <f>INDEX($AL$2:$AL$13,MATCH(11,$AM$2:$AM$13,0))</f>
        <v>0</v>
      </c>
      <c r="AO162" s="11" t="s">
        <v>318</v>
      </c>
      <c r="AP162" s="11" t="s">
        <v>28</v>
      </c>
      <c r="AQ162" s="11" t="s">
        <v>30</v>
      </c>
      <c r="AR162" s="11" t="s">
        <v>36</v>
      </c>
      <c r="AS162" s="11" t="s">
        <v>55</v>
      </c>
      <c r="AT162" s="11" t="s">
        <v>46</v>
      </c>
      <c r="AU162" s="11" t="s">
        <v>34</v>
      </c>
      <c r="AV162" s="11" t="s">
        <v>50</v>
      </c>
      <c r="AW162" s="11" t="s">
        <v>60</v>
      </c>
    </row>
    <row r="163" spans="1:49" hidden="1" x14ac:dyDescent="0.25">
      <c r="A163" s="2">
        <f>12</f>
        <v>12</v>
      </c>
      <c r="B163" s="2" t="str">
        <f>INDEX($AH$2:$AH$13,MATCH(12,$AM$2:$AM$13,0))</f>
        <v>F</v>
      </c>
      <c r="C163" s="2" t="str">
        <f>INDEX($AI$2:$AI$13,MATCH(12,$AM$2:$AM$13,0))</f>
        <v>Suecia</v>
      </c>
      <c r="D163" s="2">
        <f>INDEX($AJ$2:$AJ$13,MATCH(12,$AM$2:$AM$13,0))</f>
        <v>0</v>
      </c>
      <c r="E163" s="2">
        <f>INDEX($AK$2:$AK$13,MATCH(12,$AM$2:$AM$13,0))</f>
        <v>0</v>
      </c>
      <c r="F163" s="2">
        <f>INDEX($AL$2:$AL$13,MATCH(12,$AM$2:$AM$13,0))</f>
        <v>0</v>
      </c>
      <c r="AO163" s="11" t="s">
        <v>319</v>
      </c>
      <c r="AP163" s="11" t="s">
        <v>30</v>
      </c>
      <c r="AQ163" s="11" t="s">
        <v>31</v>
      </c>
      <c r="AR163" s="11" t="s">
        <v>35</v>
      </c>
      <c r="AS163" s="11" t="s">
        <v>33</v>
      </c>
      <c r="AT163" s="11" t="s">
        <v>28</v>
      </c>
      <c r="AU163" s="11" t="s">
        <v>34</v>
      </c>
      <c r="AV163" s="11" t="s">
        <v>50</v>
      </c>
      <c r="AW163" s="11" t="s">
        <v>46</v>
      </c>
    </row>
    <row r="164" spans="1:49" hidden="1" x14ac:dyDescent="0.25">
      <c r="AO164" s="11" t="s">
        <v>320</v>
      </c>
      <c r="AP164" s="11" t="s">
        <v>30</v>
      </c>
      <c r="AQ164" s="11" t="s">
        <v>31</v>
      </c>
      <c r="AR164" s="11" t="s">
        <v>33</v>
      </c>
      <c r="AS164" s="11" t="s">
        <v>55</v>
      </c>
      <c r="AT164" s="11" t="s">
        <v>28</v>
      </c>
      <c r="AU164" s="11" t="s">
        <v>34</v>
      </c>
      <c r="AV164" s="11" t="s">
        <v>35</v>
      </c>
      <c r="AW164" s="11" t="s">
        <v>46</v>
      </c>
    </row>
    <row r="165" spans="1:49" hidden="1" x14ac:dyDescent="0.25">
      <c r="AO165" s="11" t="s">
        <v>321</v>
      </c>
      <c r="AP165" s="11" t="s">
        <v>30</v>
      </c>
      <c r="AQ165" s="11" t="s">
        <v>31</v>
      </c>
      <c r="AR165" s="11" t="s">
        <v>35</v>
      </c>
      <c r="AS165" s="11" t="s">
        <v>33</v>
      </c>
      <c r="AT165" s="11" t="s">
        <v>28</v>
      </c>
      <c r="AU165" s="11" t="s">
        <v>34</v>
      </c>
      <c r="AV165" s="11" t="s">
        <v>46</v>
      </c>
      <c r="AW165" s="11" t="s">
        <v>60</v>
      </c>
    </row>
    <row r="166" spans="1:49" hidden="1" x14ac:dyDescent="0.25">
      <c r="A166" s="20" t="s">
        <v>145</v>
      </c>
      <c r="B166" s="31" t="s">
        <v>322</v>
      </c>
      <c r="C166" s="32"/>
      <c r="D166" s="32"/>
      <c r="E166" s="32"/>
      <c r="F166" s="32"/>
      <c r="G166" s="32"/>
      <c r="H166" s="32"/>
      <c r="I166" s="32"/>
      <c r="AO166" s="11" t="s">
        <v>323</v>
      </c>
      <c r="AP166" s="11" t="s">
        <v>30</v>
      </c>
      <c r="AQ166" s="11" t="s">
        <v>31</v>
      </c>
      <c r="AR166" s="11" t="s">
        <v>33</v>
      </c>
      <c r="AS166" s="11" t="s">
        <v>55</v>
      </c>
      <c r="AT166" s="11" t="s">
        <v>28</v>
      </c>
      <c r="AU166" s="11" t="s">
        <v>34</v>
      </c>
      <c r="AV166" s="11" t="s">
        <v>35</v>
      </c>
      <c r="AW166" s="11" t="s">
        <v>50</v>
      </c>
    </row>
    <row r="167" spans="1:49" hidden="1" x14ac:dyDescent="0.25">
      <c r="A167" s="20" t="s">
        <v>151</v>
      </c>
      <c r="B167" s="31" t="s">
        <v>152</v>
      </c>
      <c r="C167" s="32"/>
      <c r="D167" s="32"/>
      <c r="E167" s="32"/>
      <c r="F167" s="32"/>
      <c r="G167" s="32"/>
      <c r="H167" s="32"/>
      <c r="I167" s="32"/>
      <c r="AO167" s="11" t="s">
        <v>324</v>
      </c>
      <c r="AP167" s="11" t="s">
        <v>30</v>
      </c>
      <c r="AQ167" s="11" t="s">
        <v>31</v>
      </c>
      <c r="AR167" s="11" t="s">
        <v>35</v>
      </c>
      <c r="AS167" s="11" t="s">
        <v>33</v>
      </c>
      <c r="AT167" s="11" t="s">
        <v>28</v>
      </c>
      <c r="AU167" s="11" t="s">
        <v>34</v>
      </c>
      <c r="AV167" s="11" t="s">
        <v>50</v>
      </c>
      <c r="AW167" s="11" t="s">
        <v>60</v>
      </c>
    </row>
    <row r="168" spans="1:49" hidden="1" x14ac:dyDescent="0.25">
      <c r="AO168" s="11" t="s">
        <v>325</v>
      </c>
      <c r="AP168" s="11" t="s">
        <v>30</v>
      </c>
      <c r="AQ168" s="11" t="s">
        <v>31</v>
      </c>
      <c r="AR168" s="11" t="s">
        <v>33</v>
      </c>
      <c r="AS168" s="11" t="s">
        <v>55</v>
      </c>
      <c r="AT168" s="11" t="s">
        <v>28</v>
      </c>
      <c r="AU168" s="11" t="s">
        <v>34</v>
      </c>
      <c r="AV168" s="11" t="s">
        <v>35</v>
      </c>
      <c r="AW168" s="11" t="s">
        <v>60</v>
      </c>
    </row>
    <row r="169" spans="1:49" hidden="1" x14ac:dyDescent="0.25">
      <c r="AO169" s="11" t="s">
        <v>326</v>
      </c>
      <c r="AP169" s="11" t="s">
        <v>30</v>
      </c>
      <c r="AQ169" s="11" t="s">
        <v>31</v>
      </c>
      <c r="AR169" s="11" t="s">
        <v>35</v>
      </c>
      <c r="AS169" s="11" t="s">
        <v>55</v>
      </c>
      <c r="AT169" s="11" t="s">
        <v>28</v>
      </c>
      <c r="AU169" s="11" t="s">
        <v>34</v>
      </c>
      <c r="AV169" s="11" t="s">
        <v>50</v>
      </c>
      <c r="AW169" s="11" t="s">
        <v>46</v>
      </c>
    </row>
    <row r="170" spans="1:49" hidden="1" x14ac:dyDescent="0.25">
      <c r="AO170" s="11" t="s">
        <v>327</v>
      </c>
      <c r="AP170" s="11" t="s">
        <v>30</v>
      </c>
      <c r="AQ170" s="11" t="s">
        <v>31</v>
      </c>
      <c r="AR170" s="11" t="s">
        <v>35</v>
      </c>
      <c r="AS170" s="11" t="s">
        <v>46</v>
      </c>
      <c r="AT170" s="11" t="s">
        <v>28</v>
      </c>
      <c r="AU170" s="11" t="s">
        <v>34</v>
      </c>
      <c r="AV170" s="11" t="s">
        <v>50</v>
      </c>
      <c r="AW170" s="11" t="s">
        <v>60</v>
      </c>
    </row>
    <row r="171" spans="1:49" x14ac:dyDescent="0.25">
      <c r="AO171" s="11" t="s">
        <v>328</v>
      </c>
      <c r="AP171" s="11" t="s">
        <v>30</v>
      </c>
      <c r="AQ171" s="11" t="s">
        <v>31</v>
      </c>
      <c r="AR171" s="11" t="s">
        <v>35</v>
      </c>
      <c r="AS171" s="11" t="s">
        <v>55</v>
      </c>
      <c r="AT171" s="11" t="s">
        <v>28</v>
      </c>
      <c r="AU171" s="11" t="s">
        <v>34</v>
      </c>
      <c r="AV171" s="11" t="s">
        <v>46</v>
      </c>
      <c r="AW171" s="11" t="s">
        <v>60</v>
      </c>
    </row>
    <row r="172" spans="1:49" x14ac:dyDescent="0.25">
      <c r="AO172" s="11" t="s">
        <v>329</v>
      </c>
      <c r="AP172" s="11" t="s">
        <v>30</v>
      </c>
      <c r="AQ172" s="11" t="s">
        <v>31</v>
      </c>
      <c r="AR172" s="11" t="s">
        <v>35</v>
      </c>
      <c r="AS172" s="11" t="s">
        <v>55</v>
      </c>
      <c r="AT172" s="11" t="s">
        <v>28</v>
      </c>
      <c r="AU172" s="11" t="s">
        <v>34</v>
      </c>
      <c r="AV172" s="11" t="s">
        <v>50</v>
      </c>
      <c r="AW172" s="11" t="s">
        <v>60</v>
      </c>
    </row>
    <row r="173" spans="1:49" x14ac:dyDescent="0.25">
      <c r="AO173" s="11" t="s">
        <v>330</v>
      </c>
      <c r="AP173" s="11" t="s">
        <v>30</v>
      </c>
      <c r="AQ173" s="11" t="s">
        <v>35</v>
      </c>
      <c r="AR173" s="11" t="s">
        <v>33</v>
      </c>
      <c r="AS173" s="11" t="s">
        <v>55</v>
      </c>
      <c r="AT173" s="11" t="s">
        <v>28</v>
      </c>
      <c r="AU173" s="11" t="s">
        <v>34</v>
      </c>
      <c r="AV173" s="11" t="s">
        <v>50</v>
      </c>
      <c r="AW173" s="11" t="s">
        <v>46</v>
      </c>
    </row>
    <row r="174" spans="1:49" x14ac:dyDescent="0.25">
      <c r="AO174" s="11" t="s">
        <v>331</v>
      </c>
      <c r="AP174" s="11" t="s">
        <v>30</v>
      </c>
      <c r="AQ174" s="11" t="s">
        <v>35</v>
      </c>
      <c r="AR174" s="11" t="s">
        <v>33</v>
      </c>
      <c r="AS174" s="11" t="s">
        <v>46</v>
      </c>
      <c r="AT174" s="11" t="s">
        <v>28</v>
      </c>
      <c r="AU174" s="11" t="s">
        <v>34</v>
      </c>
      <c r="AV174" s="11" t="s">
        <v>50</v>
      </c>
      <c r="AW174" s="11" t="s">
        <v>60</v>
      </c>
    </row>
    <row r="175" spans="1:49" x14ac:dyDescent="0.25">
      <c r="AO175" s="11" t="s">
        <v>332</v>
      </c>
      <c r="AP175" s="11" t="s">
        <v>30</v>
      </c>
      <c r="AQ175" s="11" t="s">
        <v>35</v>
      </c>
      <c r="AR175" s="11" t="s">
        <v>33</v>
      </c>
      <c r="AS175" s="11" t="s">
        <v>55</v>
      </c>
      <c r="AT175" s="11" t="s">
        <v>28</v>
      </c>
      <c r="AU175" s="11" t="s">
        <v>34</v>
      </c>
      <c r="AV175" s="11" t="s">
        <v>46</v>
      </c>
      <c r="AW175" s="11" t="s">
        <v>60</v>
      </c>
    </row>
    <row r="176" spans="1:49" x14ac:dyDescent="0.25">
      <c r="AO176" s="11" t="s">
        <v>333</v>
      </c>
      <c r="AP176" s="11" t="s">
        <v>30</v>
      </c>
      <c r="AQ176" s="11" t="s">
        <v>35</v>
      </c>
      <c r="AR176" s="11" t="s">
        <v>33</v>
      </c>
      <c r="AS176" s="11" t="s">
        <v>55</v>
      </c>
      <c r="AT176" s="11" t="s">
        <v>28</v>
      </c>
      <c r="AU176" s="11" t="s">
        <v>34</v>
      </c>
      <c r="AV176" s="11" t="s">
        <v>50</v>
      </c>
      <c r="AW176" s="11" t="s">
        <v>60</v>
      </c>
    </row>
    <row r="177" spans="41:49" x14ac:dyDescent="0.25">
      <c r="AO177" s="11" t="s">
        <v>334</v>
      </c>
      <c r="AP177" s="11" t="s">
        <v>30</v>
      </c>
      <c r="AQ177" s="11" t="s">
        <v>35</v>
      </c>
      <c r="AR177" s="11" t="s">
        <v>46</v>
      </c>
      <c r="AS177" s="11" t="s">
        <v>55</v>
      </c>
      <c r="AT177" s="11" t="s">
        <v>28</v>
      </c>
      <c r="AU177" s="11" t="s">
        <v>34</v>
      </c>
      <c r="AV177" s="11" t="s">
        <v>50</v>
      </c>
      <c r="AW177" s="11" t="s">
        <v>60</v>
      </c>
    </row>
    <row r="178" spans="41:49" x14ac:dyDescent="0.25">
      <c r="AO178" s="11" t="s">
        <v>335</v>
      </c>
      <c r="AP178" s="11" t="s">
        <v>30</v>
      </c>
      <c r="AQ178" s="11" t="s">
        <v>31</v>
      </c>
      <c r="AR178" s="11" t="s">
        <v>33</v>
      </c>
      <c r="AS178" s="11" t="s">
        <v>55</v>
      </c>
      <c r="AT178" s="11" t="s">
        <v>28</v>
      </c>
      <c r="AU178" s="11" t="s">
        <v>34</v>
      </c>
      <c r="AV178" s="11" t="s">
        <v>50</v>
      </c>
      <c r="AW178" s="11" t="s">
        <v>46</v>
      </c>
    </row>
    <row r="179" spans="41:49" x14ac:dyDescent="0.25">
      <c r="AO179" s="11" t="s">
        <v>336</v>
      </c>
      <c r="AP179" s="11" t="s">
        <v>30</v>
      </c>
      <c r="AQ179" s="11" t="s">
        <v>31</v>
      </c>
      <c r="AR179" s="11" t="s">
        <v>33</v>
      </c>
      <c r="AS179" s="11" t="s">
        <v>46</v>
      </c>
      <c r="AT179" s="11" t="s">
        <v>28</v>
      </c>
      <c r="AU179" s="11" t="s">
        <v>34</v>
      </c>
      <c r="AV179" s="11" t="s">
        <v>50</v>
      </c>
      <c r="AW179" s="11" t="s">
        <v>60</v>
      </c>
    </row>
    <row r="180" spans="41:49" x14ac:dyDescent="0.25">
      <c r="AO180" s="11" t="s">
        <v>337</v>
      </c>
      <c r="AP180" s="11" t="s">
        <v>30</v>
      </c>
      <c r="AQ180" s="11" t="s">
        <v>31</v>
      </c>
      <c r="AR180" s="11" t="s">
        <v>33</v>
      </c>
      <c r="AS180" s="11" t="s">
        <v>55</v>
      </c>
      <c r="AT180" s="11" t="s">
        <v>28</v>
      </c>
      <c r="AU180" s="11" t="s">
        <v>34</v>
      </c>
      <c r="AV180" s="11" t="s">
        <v>46</v>
      </c>
      <c r="AW180" s="11" t="s">
        <v>60</v>
      </c>
    </row>
    <row r="181" spans="41:49" x14ac:dyDescent="0.25">
      <c r="AO181" s="11" t="s">
        <v>338</v>
      </c>
      <c r="AP181" s="11" t="s">
        <v>30</v>
      </c>
      <c r="AQ181" s="11" t="s">
        <v>31</v>
      </c>
      <c r="AR181" s="11" t="s">
        <v>33</v>
      </c>
      <c r="AS181" s="11" t="s">
        <v>55</v>
      </c>
      <c r="AT181" s="11" t="s">
        <v>28</v>
      </c>
      <c r="AU181" s="11" t="s">
        <v>34</v>
      </c>
      <c r="AV181" s="11" t="s">
        <v>50</v>
      </c>
      <c r="AW181" s="11" t="s">
        <v>60</v>
      </c>
    </row>
    <row r="182" spans="41:49" x14ac:dyDescent="0.25">
      <c r="AO182" s="11" t="s">
        <v>339</v>
      </c>
      <c r="AP182" s="11" t="s">
        <v>30</v>
      </c>
      <c r="AQ182" s="11" t="s">
        <v>31</v>
      </c>
      <c r="AR182" s="11" t="s">
        <v>46</v>
      </c>
      <c r="AS182" s="11" t="s">
        <v>55</v>
      </c>
      <c r="AT182" s="11" t="s">
        <v>28</v>
      </c>
      <c r="AU182" s="11" t="s">
        <v>34</v>
      </c>
      <c r="AV182" s="11" t="s">
        <v>50</v>
      </c>
      <c r="AW182" s="11" t="s">
        <v>60</v>
      </c>
    </row>
    <row r="183" spans="41:49" x14ac:dyDescent="0.25">
      <c r="AO183" s="11" t="s">
        <v>340</v>
      </c>
      <c r="AP183" s="11" t="s">
        <v>30</v>
      </c>
      <c r="AQ183" s="11" t="s">
        <v>33</v>
      </c>
      <c r="AR183" s="11" t="s">
        <v>46</v>
      </c>
      <c r="AS183" s="11" t="s">
        <v>55</v>
      </c>
      <c r="AT183" s="11" t="s">
        <v>28</v>
      </c>
      <c r="AU183" s="11" t="s">
        <v>34</v>
      </c>
      <c r="AV183" s="11" t="s">
        <v>50</v>
      </c>
      <c r="AW183" s="11" t="s">
        <v>60</v>
      </c>
    </row>
    <row r="184" spans="41:49" x14ac:dyDescent="0.25">
      <c r="AO184" s="11" t="s">
        <v>341</v>
      </c>
      <c r="AP184" s="11" t="s">
        <v>28</v>
      </c>
      <c r="AQ184" s="11" t="s">
        <v>31</v>
      </c>
      <c r="AR184" s="11" t="s">
        <v>36</v>
      </c>
      <c r="AS184" s="11" t="s">
        <v>33</v>
      </c>
      <c r="AT184" s="11" t="s">
        <v>46</v>
      </c>
      <c r="AU184" s="11" t="s">
        <v>34</v>
      </c>
      <c r="AV184" s="11" t="s">
        <v>35</v>
      </c>
      <c r="AW184" s="11" t="s">
        <v>50</v>
      </c>
    </row>
    <row r="185" spans="41:49" x14ac:dyDescent="0.25">
      <c r="AO185" s="11" t="s">
        <v>342</v>
      </c>
      <c r="AP185" s="11" t="s">
        <v>28</v>
      </c>
      <c r="AQ185" s="11" t="s">
        <v>31</v>
      </c>
      <c r="AR185" s="11" t="s">
        <v>36</v>
      </c>
      <c r="AS185" s="11" t="s">
        <v>55</v>
      </c>
      <c r="AT185" s="11" t="s">
        <v>33</v>
      </c>
      <c r="AU185" s="11" t="s">
        <v>34</v>
      </c>
      <c r="AV185" s="11" t="s">
        <v>35</v>
      </c>
      <c r="AW185" s="11" t="s">
        <v>46</v>
      </c>
    </row>
    <row r="186" spans="41:49" x14ac:dyDescent="0.25">
      <c r="AO186" s="11" t="s">
        <v>343</v>
      </c>
      <c r="AP186" s="11" t="s">
        <v>28</v>
      </c>
      <c r="AQ186" s="11" t="s">
        <v>31</v>
      </c>
      <c r="AR186" s="11" t="s">
        <v>36</v>
      </c>
      <c r="AS186" s="11" t="s">
        <v>33</v>
      </c>
      <c r="AT186" s="11" t="s">
        <v>46</v>
      </c>
      <c r="AU186" s="11" t="s">
        <v>34</v>
      </c>
      <c r="AV186" s="11" t="s">
        <v>35</v>
      </c>
      <c r="AW186" s="11" t="s">
        <v>60</v>
      </c>
    </row>
    <row r="187" spans="41:49" x14ac:dyDescent="0.25">
      <c r="AO187" s="11" t="s">
        <v>344</v>
      </c>
      <c r="AP187" s="11" t="s">
        <v>28</v>
      </c>
      <c r="AQ187" s="11" t="s">
        <v>31</v>
      </c>
      <c r="AR187" s="11" t="s">
        <v>36</v>
      </c>
      <c r="AS187" s="11" t="s">
        <v>55</v>
      </c>
      <c r="AT187" s="11" t="s">
        <v>33</v>
      </c>
      <c r="AU187" s="11" t="s">
        <v>34</v>
      </c>
      <c r="AV187" s="11" t="s">
        <v>35</v>
      </c>
      <c r="AW187" s="11" t="s">
        <v>50</v>
      </c>
    </row>
    <row r="188" spans="41:49" x14ac:dyDescent="0.25">
      <c r="AO188" s="11" t="s">
        <v>345</v>
      </c>
      <c r="AP188" s="11" t="s">
        <v>28</v>
      </c>
      <c r="AQ188" s="11" t="s">
        <v>31</v>
      </c>
      <c r="AR188" s="11" t="s">
        <v>36</v>
      </c>
      <c r="AS188" s="11" t="s">
        <v>33</v>
      </c>
      <c r="AT188" s="11" t="s">
        <v>50</v>
      </c>
      <c r="AU188" s="11" t="s">
        <v>34</v>
      </c>
      <c r="AV188" s="11" t="s">
        <v>35</v>
      </c>
      <c r="AW188" s="11" t="s">
        <v>60</v>
      </c>
    </row>
    <row r="189" spans="41:49" x14ac:dyDescent="0.25">
      <c r="AO189" s="11" t="s">
        <v>346</v>
      </c>
      <c r="AP189" s="11" t="s">
        <v>28</v>
      </c>
      <c r="AQ189" s="11" t="s">
        <v>31</v>
      </c>
      <c r="AR189" s="11" t="s">
        <v>36</v>
      </c>
      <c r="AS189" s="11" t="s">
        <v>55</v>
      </c>
      <c r="AT189" s="11" t="s">
        <v>33</v>
      </c>
      <c r="AU189" s="11" t="s">
        <v>34</v>
      </c>
      <c r="AV189" s="11" t="s">
        <v>35</v>
      </c>
      <c r="AW189" s="11" t="s">
        <v>60</v>
      </c>
    </row>
    <row r="190" spans="41:49" x14ac:dyDescent="0.25">
      <c r="AO190" s="11" t="s">
        <v>347</v>
      </c>
      <c r="AP190" s="11" t="s">
        <v>28</v>
      </c>
      <c r="AQ190" s="11" t="s">
        <v>31</v>
      </c>
      <c r="AR190" s="11" t="s">
        <v>36</v>
      </c>
      <c r="AS190" s="11" t="s">
        <v>55</v>
      </c>
      <c r="AT190" s="11" t="s">
        <v>46</v>
      </c>
      <c r="AU190" s="11" t="s">
        <v>34</v>
      </c>
      <c r="AV190" s="11" t="s">
        <v>35</v>
      </c>
      <c r="AW190" s="11" t="s">
        <v>50</v>
      </c>
    </row>
    <row r="191" spans="41:49" x14ac:dyDescent="0.25">
      <c r="AO191" s="11" t="s">
        <v>348</v>
      </c>
      <c r="AP191" s="11" t="s">
        <v>28</v>
      </c>
      <c r="AQ191" s="11" t="s">
        <v>31</v>
      </c>
      <c r="AR191" s="11" t="s">
        <v>36</v>
      </c>
      <c r="AS191" s="11" t="s">
        <v>46</v>
      </c>
      <c r="AT191" s="11" t="s">
        <v>50</v>
      </c>
      <c r="AU191" s="11" t="s">
        <v>34</v>
      </c>
      <c r="AV191" s="11" t="s">
        <v>35</v>
      </c>
      <c r="AW191" s="11" t="s">
        <v>60</v>
      </c>
    </row>
    <row r="192" spans="41:49" x14ac:dyDescent="0.25">
      <c r="AO192" s="11" t="s">
        <v>349</v>
      </c>
      <c r="AP192" s="11" t="s">
        <v>28</v>
      </c>
      <c r="AQ192" s="11" t="s">
        <v>31</v>
      </c>
      <c r="AR192" s="11" t="s">
        <v>36</v>
      </c>
      <c r="AS192" s="11" t="s">
        <v>55</v>
      </c>
      <c r="AT192" s="11" t="s">
        <v>46</v>
      </c>
      <c r="AU192" s="11" t="s">
        <v>34</v>
      </c>
      <c r="AV192" s="11" t="s">
        <v>35</v>
      </c>
      <c r="AW192" s="11" t="s">
        <v>60</v>
      </c>
    </row>
    <row r="193" spans="41:49" x14ac:dyDescent="0.25">
      <c r="AO193" s="11" t="s">
        <v>350</v>
      </c>
      <c r="AP193" s="11" t="s">
        <v>28</v>
      </c>
      <c r="AQ193" s="11" t="s">
        <v>31</v>
      </c>
      <c r="AR193" s="11" t="s">
        <v>36</v>
      </c>
      <c r="AS193" s="11" t="s">
        <v>55</v>
      </c>
      <c r="AT193" s="11" t="s">
        <v>50</v>
      </c>
      <c r="AU193" s="11" t="s">
        <v>34</v>
      </c>
      <c r="AV193" s="11" t="s">
        <v>35</v>
      </c>
      <c r="AW193" s="11" t="s">
        <v>60</v>
      </c>
    </row>
    <row r="194" spans="41:49" x14ac:dyDescent="0.25">
      <c r="AO194" s="11" t="s">
        <v>351</v>
      </c>
      <c r="AP194" s="11" t="s">
        <v>28</v>
      </c>
      <c r="AQ194" s="11" t="s">
        <v>35</v>
      </c>
      <c r="AR194" s="11" t="s">
        <v>36</v>
      </c>
      <c r="AS194" s="11" t="s">
        <v>55</v>
      </c>
      <c r="AT194" s="11" t="s">
        <v>33</v>
      </c>
      <c r="AU194" s="11" t="s">
        <v>34</v>
      </c>
      <c r="AV194" s="11" t="s">
        <v>50</v>
      </c>
      <c r="AW194" s="11" t="s">
        <v>46</v>
      </c>
    </row>
    <row r="195" spans="41:49" x14ac:dyDescent="0.25">
      <c r="AO195" s="11" t="s">
        <v>352</v>
      </c>
      <c r="AP195" s="11" t="s">
        <v>28</v>
      </c>
      <c r="AQ195" s="11" t="s">
        <v>35</v>
      </c>
      <c r="AR195" s="11" t="s">
        <v>36</v>
      </c>
      <c r="AS195" s="11" t="s">
        <v>33</v>
      </c>
      <c r="AT195" s="11" t="s">
        <v>46</v>
      </c>
      <c r="AU195" s="11" t="s">
        <v>34</v>
      </c>
      <c r="AV195" s="11" t="s">
        <v>50</v>
      </c>
      <c r="AW195" s="11" t="s">
        <v>60</v>
      </c>
    </row>
    <row r="196" spans="41:49" x14ac:dyDescent="0.25">
      <c r="AO196" s="11" t="s">
        <v>353</v>
      </c>
      <c r="AP196" s="11" t="s">
        <v>28</v>
      </c>
      <c r="AQ196" s="11" t="s">
        <v>35</v>
      </c>
      <c r="AR196" s="11" t="s">
        <v>36</v>
      </c>
      <c r="AS196" s="11" t="s">
        <v>55</v>
      </c>
      <c r="AT196" s="11" t="s">
        <v>33</v>
      </c>
      <c r="AU196" s="11" t="s">
        <v>34</v>
      </c>
      <c r="AV196" s="11" t="s">
        <v>46</v>
      </c>
      <c r="AW196" s="11" t="s">
        <v>60</v>
      </c>
    </row>
    <row r="197" spans="41:49" x14ac:dyDescent="0.25">
      <c r="AO197" s="11" t="s">
        <v>354</v>
      </c>
      <c r="AP197" s="11" t="s">
        <v>28</v>
      </c>
      <c r="AQ197" s="11" t="s">
        <v>35</v>
      </c>
      <c r="AR197" s="11" t="s">
        <v>36</v>
      </c>
      <c r="AS197" s="11" t="s">
        <v>55</v>
      </c>
      <c r="AT197" s="11" t="s">
        <v>33</v>
      </c>
      <c r="AU197" s="11" t="s">
        <v>34</v>
      </c>
      <c r="AV197" s="11" t="s">
        <v>50</v>
      </c>
      <c r="AW197" s="11" t="s">
        <v>60</v>
      </c>
    </row>
    <row r="198" spans="41:49" x14ac:dyDescent="0.25">
      <c r="AO198" s="11" t="s">
        <v>355</v>
      </c>
      <c r="AP198" s="11" t="s">
        <v>28</v>
      </c>
      <c r="AQ198" s="11" t="s">
        <v>35</v>
      </c>
      <c r="AR198" s="11" t="s">
        <v>36</v>
      </c>
      <c r="AS198" s="11" t="s">
        <v>55</v>
      </c>
      <c r="AT198" s="11" t="s">
        <v>46</v>
      </c>
      <c r="AU198" s="11" t="s">
        <v>34</v>
      </c>
      <c r="AV198" s="11" t="s">
        <v>50</v>
      </c>
      <c r="AW198" s="11" t="s">
        <v>60</v>
      </c>
    </row>
    <row r="199" spans="41:49" x14ac:dyDescent="0.25">
      <c r="AO199" s="11" t="s">
        <v>356</v>
      </c>
      <c r="AP199" s="11" t="s">
        <v>28</v>
      </c>
      <c r="AQ199" s="11" t="s">
        <v>31</v>
      </c>
      <c r="AR199" s="11" t="s">
        <v>36</v>
      </c>
      <c r="AS199" s="11" t="s">
        <v>55</v>
      </c>
      <c r="AT199" s="11" t="s">
        <v>33</v>
      </c>
      <c r="AU199" s="11" t="s">
        <v>34</v>
      </c>
      <c r="AV199" s="11" t="s">
        <v>50</v>
      </c>
      <c r="AW199" s="11" t="s">
        <v>46</v>
      </c>
    </row>
    <row r="200" spans="41:49" x14ac:dyDescent="0.25">
      <c r="AO200" s="11" t="s">
        <v>357</v>
      </c>
      <c r="AP200" s="11" t="s">
        <v>28</v>
      </c>
      <c r="AQ200" s="11" t="s">
        <v>31</v>
      </c>
      <c r="AR200" s="11" t="s">
        <v>36</v>
      </c>
      <c r="AS200" s="11" t="s">
        <v>33</v>
      </c>
      <c r="AT200" s="11" t="s">
        <v>46</v>
      </c>
      <c r="AU200" s="11" t="s">
        <v>34</v>
      </c>
      <c r="AV200" s="11" t="s">
        <v>50</v>
      </c>
      <c r="AW200" s="11" t="s">
        <v>60</v>
      </c>
    </row>
    <row r="201" spans="41:49" x14ac:dyDescent="0.25">
      <c r="AO201" s="11" t="s">
        <v>358</v>
      </c>
      <c r="AP201" s="11" t="s">
        <v>28</v>
      </c>
      <c r="AQ201" s="11" t="s">
        <v>31</v>
      </c>
      <c r="AR201" s="11" t="s">
        <v>36</v>
      </c>
      <c r="AS201" s="11" t="s">
        <v>55</v>
      </c>
      <c r="AT201" s="11" t="s">
        <v>33</v>
      </c>
      <c r="AU201" s="11" t="s">
        <v>34</v>
      </c>
      <c r="AV201" s="11" t="s">
        <v>46</v>
      </c>
      <c r="AW201" s="11" t="s">
        <v>60</v>
      </c>
    </row>
    <row r="202" spans="41:49" x14ac:dyDescent="0.25">
      <c r="AO202" s="11" t="s">
        <v>359</v>
      </c>
      <c r="AP202" s="11" t="s">
        <v>28</v>
      </c>
      <c r="AQ202" s="11" t="s">
        <v>31</v>
      </c>
      <c r="AR202" s="11" t="s">
        <v>36</v>
      </c>
      <c r="AS202" s="11" t="s">
        <v>55</v>
      </c>
      <c r="AT202" s="11" t="s">
        <v>33</v>
      </c>
      <c r="AU202" s="11" t="s">
        <v>34</v>
      </c>
      <c r="AV202" s="11" t="s">
        <v>50</v>
      </c>
      <c r="AW202" s="11" t="s">
        <v>60</v>
      </c>
    </row>
    <row r="203" spans="41:49" x14ac:dyDescent="0.25">
      <c r="AO203" s="11" t="s">
        <v>360</v>
      </c>
      <c r="AP203" s="11" t="s">
        <v>28</v>
      </c>
      <c r="AQ203" s="11" t="s">
        <v>31</v>
      </c>
      <c r="AR203" s="11" t="s">
        <v>36</v>
      </c>
      <c r="AS203" s="11" t="s">
        <v>55</v>
      </c>
      <c r="AT203" s="11" t="s">
        <v>46</v>
      </c>
      <c r="AU203" s="11" t="s">
        <v>34</v>
      </c>
      <c r="AV203" s="11" t="s">
        <v>50</v>
      </c>
      <c r="AW203" s="11" t="s">
        <v>60</v>
      </c>
    </row>
    <row r="204" spans="41:49" x14ac:dyDescent="0.25">
      <c r="AO204" s="11" t="s">
        <v>361</v>
      </c>
      <c r="AP204" s="11" t="s">
        <v>28</v>
      </c>
      <c r="AQ204" s="11" t="s">
        <v>33</v>
      </c>
      <c r="AR204" s="11" t="s">
        <v>36</v>
      </c>
      <c r="AS204" s="11" t="s">
        <v>55</v>
      </c>
      <c r="AT204" s="11" t="s">
        <v>46</v>
      </c>
      <c r="AU204" s="11" t="s">
        <v>34</v>
      </c>
      <c r="AV204" s="11" t="s">
        <v>50</v>
      </c>
      <c r="AW204" s="11" t="s">
        <v>60</v>
      </c>
    </row>
    <row r="205" spans="41:49" x14ac:dyDescent="0.25">
      <c r="AO205" s="11" t="s">
        <v>362</v>
      </c>
      <c r="AP205" s="11" t="s">
        <v>28</v>
      </c>
      <c r="AQ205" s="11" t="s">
        <v>31</v>
      </c>
      <c r="AR205" s="11" t="s">
        <v>35</v>
      </c>
      <c r="AS205" s="11" t="s">
        <v>55</v>
      </c>
      <c r="AT205" s="11" t="s">
        <v>33</v>
      </c>
      <c r="AU205" s="11" t="s">
        <v>34</v>
      </c>
      <c r="AV205" s="11" t="s">
        <v>50</v>
      </c>
      <c r="AW205" s="11" t="s">
        <v>46</v>
      </c>
    </row>
    <row r="206" spans="41:49" x14ac:dyDescent="0.25">
      <c r="AO206" s="11" t="s">
        <v>363</v>
      </c>
      <c r="AP206" s="11" t="s">
        <v>28</v>
      </c>
      <c r="AQ206" s="11" t="s">
        <v>31</v>
      </c>
      <c r="AR206" s="11" t="s">
        <v>35</v>
      </c>
      <c r="AS206" s="11" t="s">
        <v>33</v>
      </c>
      <c r="AT206" s="11" t="s">
        <v>46</v>
      </c>
      <c r="AU206" s="11" t="s">
        <v>34</v>
      </c>
      <c r="AV206" s="11" t="s">
        <v>50</v>
      </c>
      <c r="AW206" s="11" t="s">
        <v>60</v>
      </c>
    </row>
    <row r="207" spans="41:49" x14ac:dyDescent="0.25">
      <c r="AO207" s="11" t="s">
        <v>364</v>
      </c>
      <c r="AP207" s="11" t="s">
        <v>28</v>
      </c>
      <c r="AQ207" s="11" t="s">
        <v>31</v>
      </c>
      <c r="AR207" s="11" t="s">
        <v>35</v>
      </c>
      <c r="AS207" s="11" t="s">
        <v>55</v>
      </c>
      <c r="AT207" s="11" t="s">
        <v>33</v>
      </c>
      <c r="AU207" s="11" t="s">
        <v>34</v>
      </c>
      <c r="AV207" s="11" t="s">
        <v>46</v>
      </c>
      <c r="AW207" s="11" t="s">
        <v>60</v>
      </c>
    </row>
    <row r="208" spans="41:49" x14ac:dyDescent="0.25">
      <c r="AO208" s="11" t="s">
        <v>365</v>
      </c>
      <c r="AP208" s="11" t="s">
        <v>28</v>
      </c>
      <c r="AQ208" s="11" t="s">
        <v>31</v>
      </c>
      <c r="AR208" s="11" t="s">
        <v>35</v>
      </c>
      <c r="AS208" s="11" t="s">
        <v>55</v>
      </c>
      <c r="AT208" s="11" t="s">
        <v>33</v>
      </c>
      <c r="AU208" s="11" t="s">
        <v>34</v>
      </c>
      <c r="AV208" s="11" t="s">
        <v>50</v>
      </c>
      <c r="AW208" s="11" t="s">
        <v>60</v>
      </c>
    </row>
    <row r="209" spans="41:49" x14ac:dyDescent="0.25">
      <c r="AO209" s="11" t="s">
        <v>366</v>
      </c>
      <c r="AP209" s="11" t="s">
        <v>28</v>
      </c>
      <c r="AQ209" s="11" t="s">
        <v>31</v>
      </c>
      <c r="AR209" s="11" t="s">
        <v>35</v>
      </c>
      <c r="AS209" s="11" t="s">
        <v>55</v>
      </c>
      <c r="AT209" s="11" t="s">
        <v>46</v>
      </c>
      <c r="AU209" s="11" t="s">
        <v>34</v>
      </c>
      <c r="AV209" s="11" t="s">
        <v>50</v>
      </c>
      <c r="AW209" s="11" t="s">
        <v>60</v>
      </c>
    </row>
    <row r="210" spans="41:49" x14ac:dyDescent="0.25">
      <c r="AO210" s="11" t="s">
        <v>367</v>
      </c>
      <c r="AP210" s="11" t="s">
        <v>28</v>
      </c>
      <c r="AQ210" s="11" t="s">
        <v>35</v>
      </c>
      <c r="AR210" s="11" t="s">
        <v>33</v>
      </c>
      <c r="AS210" s="11" t="s">
        <v>55</v>
      </c>
      <c r="AT210" s="11" t="s">
        <v>46</v>
      </c>
      <c r="AU210" s="11" t="s">
        <v>34</v>
      </c>
      <c r="AV210" s="11" t="s">
        <v>50</v>
      </c>
      <c r="AW210" s="11" t="s">
        <v>60</v>
      </c>
    </row>
    <row r="211" spans="41:49" x14ac:dyDescent="0.25">
      <c r="AO211" s="11" t="s">
        <v>368</v>
      </c>
      <c r="AP211" s="11" t="s">
        <v>28</v>
      </c>
      <c r="AQ211" s="11" t="s">
        <v>31</v>
      </c>
      <c r="AR211" s="11" t="s">
        <v>33</v>
      </c>
      <c r="AS211" s="11" t="s">
        <v>55</v>
      </c>
      <c r="AT211" s="11" t="s">
        <v>46</v>
      </c>
      <c r="AU211" s="11" t="s">
        <v>34</v>
      </c>
      <c r="AV211" s="11" t="s">
        <v>50</v>
      </c>
      <c r="AW211" s="11" t="s">
        <v>60</v>
      </c>
    </row>
    <row r="212" spans="41:49" x14ac:dyDescent="0.25">
      <c r="AO212" s="11" t="s">
        <v>369</v>
      </c>
      <c r="AP212" s="11" t="s">
        <v>30</v>
      </c>
      <c r="AQ212" s="11" t="s">
        <v>31</v>
      </c>
      <c r="AR212" s="11" t="s">
        <v>32</v>
      </c>
      <c r="AS212" s="11" t="s">
        <v>33</v>
      </c>
      <c r="AT212" s="11" t="s">
        <v>28</v>
      </c>
      <c r="AU212" s="11" t="s">
        <v>46</v>
      </c>
      <c r="AV212" s="11" t="s">
        <v>35</v>
      </c>
      <c r="AW212" s="11" t="s">
        <v>36</v>
      </c>
    </row>
    <row r="213" spans="41:49" x14ac:dyDescent="0.25">
      <c r="AO213" s="11" t="s">
        <v>370</v>
      </c>
      <c r="AP213" s="11" t="s">
        <v>30</v>
      </c>
      <c r="AQ213" s="11" t="s">
        <v>31</v>
      </c>
      <c r="AR213" s="11" t="s">
        <v>32</v>
      </c>
      <c r="AS213" s="11" t="s">
        <v>33</v>
      </c>
      <c r="AT213" s="11" t="s">
        <v>28</v>
      </c>
      <c r="AU213" s="11" t="s">
        <v>36</v>
      </c>
      <c r="AV213" s="11" t="s">
        <v>35</v>
      </c>
      <c r="AW213" s="11" t="s">
        <v>50</v>
      </c>
    </row>
    <row r="214" spans="41:49" x14ac:dyDescent="0.25">
      <c r="AO214" s="11" t="s">
        <v>371</v>
      </c>
      <c r="AP214" s="11" t="s">
        <v>30</v>
      </c>
      <c r="AQ214" s="11" t="s">
        <v>32</v>
      </c>
      <c r="AR214" s="11" t="s">
        <v>33</v>
      </c>
      <c r="AS214" s="11" t="s">
        <v>55</v>
      </c>
      <c r="AT214" s="11" t="s">
        <v>28</v>
      </c>
      <c r="AU214" s="11" t="s">
        <v>35</v>
      </c>
      <c r="AV214" s="11" t="s">
        <v>31</v>
      </c>
      <c r="AW214" s="11" t="s">
        <v>36</v>
      </c>
    </row>
    <row r="215" spans="41:49" x14ac:dyDescent="0.25">
      <c r="AO215" s="11" t="s">
        <v>372</v>
      </c>
      <c r="AP215" s="11" t="s">
        <v>30</v>
      </c>
      <c r="AQ215" s="11" t="s">
        <v>31</v>
      </c>
      <c r="AR215" s="11" t="s">
        <v>32</v>
      </c>
      <c r="AS215" s="11" t="s">
        <v>33</v>
      </c>
      <c r="AT215" s="11" t="s">
        <v>28</v>
      </c>
      <c r="AU215" s="11" t="s">
        <v>36</v>
      </c>
      <c r="AV215" s="11" t="s">
        <v>35</v>
      </c>
      <c r="AW215" s="11" t="s">
        <v>60</v>
      </c>
    </row>
    <row r="216" spans="41:49" x14ac:dyDescent="0.25">
      <c r="AO216" s="11" t="s">
        <v>373</v>
      </c>
      <c r="AP216" s="11" t="s">
        <v>30</v>
      </c>
      <c r="AQ216" s="11" t="s">
        <v>31</v>
      </c>
      <c r="AR216" s="11" t="s">
        <v>32</v>
      </c>
      <c r="AS216" s="11" t="s">
        <v>36</v>
      </c>
      <c r="AT216" s="11" t="s">
        <v>28</v>
      </c>
      <c r="AU216" s="11" t="s">
        <v>46</v>
      </c>
      <c r="AV216" s="11" t="s">
        <v>35</v>
      </c>
      <c r="AW216" s="11" t="s">
        <v>50</v>
      </c>
    </row>
    <row r="217" spans="41:49" x14ac:dyDescent="0.25">
      <c r="AO217" s="11" t="s">
        <v>374</v>
      </c>
      <c r="AP217" s="11" t="s">
        <v>30</v>
      </c>
      <c r="AQ217" s="11" t="s">
        <v>31</v>
      </c>
      <c r="AR217" s="11" t="s">
        <v>32</v>
      </c>
      <c r="AS217" s="11" t="s">
        <v>55</v>
      </c>
      <c r="AT217" s="11" t="s">
        <v>28</v>
      </c>
      <c r="AU217" s="11" t="s">
        <v>46</v>
      </c>
      <c r="AV217" s="11" t="s">
        <v>35</v>
      </c>
      <c r="AW217" s="11" t="s">
        <v>36</v>
      </c>
    </row>
    <row r="218" spans="41:49" x14ac:dyDescent="0.25">
      <c r="AO218" s="11" t="s">
        <v>375</v>
      </c>
      <c r="AP218" s="11" t="s">
        <v>30</v>
      </c>
      <c r="AQ218" s="11" t="s">
        <v>31</v>
      </c>
      <c r="AR218" s="11" t="s">
        <v>32</v>
      </c>
      <c r="AS218" s="11" t="s">
        <v>36</v>
      </c>
      <c r="AT218" s="11" t="s">
        <v>28</v>
      </c>
      <c r="AU218" s="11" t="s">
        <v>46</v>
      </c>
      <c r="AV218" s="11" t="s">
        <v>35</v>
      </c>
      <c r="AW218" s="11" t="s">
        <v>60</v>
      </c>
    </row>
    <row r="219" spans="41:49" x14ac:dyDescent="0.25">
      <c r="AO219" s="11" t="s">
        <v>376</v>
      </c>
      <c r="AP219" s="11" t="s">
        <v>30</v>
      </c>
      <c r="AQ219" s="11" t="s">
        <v>31</v>
      </c>
      <c r="AR219" s="11" t="s">
        <v>32</v>
      </c>
      <c r="AS219" s="11" t="s">
        <v>55</v>
      </c>
      <c r="AT219" s="11" t="s">
        <v>28</v>
      </c>
      <c r="AU219" s="11" t="s">
        <v>36</v>
      </c>
      <c r="AV219" s="11" t="s">
        <v>35</v>
      </c>
      <c r="AW219" s="11" t="s">
        <v>50</v>
      </c>
    </row>
    <row r="220" spans="41:49" x14ac:dyDescent="0.25">
      <c r="AO220" s="11" t="s">
        <v>377</v>
      </c>
      <c r="AP220" s="11" t="s">
        <v>30</v>
      </c>
      <c r="AQ220" s="11" t="s">
        <v>31</v>
      </c>
      <c r="AR220" s="11" t="s">
        <v>32</v>
      </c>
      <c r="AS220" s="11" t="s">
        <v>36</v>
      </c>
      <c r="AT220" s="11" t="s">
        <v>28</v>
      </c>
      <c r="AU220" s="11" t="s">
        <v>35</v>
      </c>
      <c r="AV220" s="11" t="s">
        <v>50</v>
      </c>
      <c r="AW220" s="11" t="s">
        <v>60</v>
      </c>
    </row>
    <row r="221" spans="41:49" x14ac:dyDescent="0.25">
      <c r="AO221" s="11" t="s">
        <v>378</v>
      </c>
      <c r="AP221" s="11" t="s">
        <v>30</v>
      </c>
      <c r="AQ221" s="11" t="s">
        <v>31</v>
      </c>
      <c r="AR221" s="11" t="s">
        <v>32</v>
      </c>
      <c r="AS221" s="11" t="s">
        <v>55</v>
      </c>
      <c r="AT221" s="11" t="s">
        <v>28</v>
      </c>
      <c r="AU221" s="11" t="s">
        <v>36</v>
      </c>
      <c r="AV221" s="11" t="s">
        <v>35</v>
      </c>
      <c r="AW221" s="11" t="s">
        <v>60</v>
      </c>
    </row>
    <row r="222" spans="41:49" x14ac:dyDescent="0.25">
      <c r="AO222" s="11" t="s">
        <v>379</v>
      </c>
      <c r="AP222" s="11" t="s">
        <v>30</v>
      </c>
      <c r="AQ222" s="11" t="s">
        <v>32</v>
      </c>
      <c r="AR222" s="11" t="s">
        <v>36</v>
      </c>
      <c r="AS222" s="11" t="s">
        <v>33</v>
      </c>
      <c r="AT222" s="11" t="s">
        <v>28</v>
      </c>
      <c r="AU222" s="11" t="s">
        <v>46</v>
      </c>
      <c r="AV222" s="11" t="s">
        <v>35</v>
      </c>
      <c r="AW222" s="11" t="s">
        <v>50</v>
      </c>
    </row>
    <row r="223" spans="41:49" x14ac:dyDescent="0.25">
      <c r="AO223" s="11" t="s">
        <v>380</v>
      </c>
      <c r="AP223" s="11" t="s">
        <v>30</v>
      </c>
      <c r="AQ223" s="11" t="s">
        <v>32</v>
      </c>
      <c r="AR223" s="11" t="s">
        <v>33</v>
      </c>
      <c r="AS223" s="11" t="s">
        <v>55</v>
      </c>
      <c r="AT223" s="11" t="s">
        <v>28</v>
      </c>
      <c r="AU223" s="11" t="s">
        <v>46</v>
      </c>
      <c r="AV223" s="11" t="s">
        <v>35</v>
      </c>
      <c r="AW223" s="11" t="s">
        <v>36</v>
      </c>
    </row>
    <row r="224" spans="41:49" x14ac:dyDescent="0.25">
      <c r="AO224" s="11" t="s">
        <v>381</v>
      </c>
      <c r="AP224" s="11" t="s">
        <v>30</v>
      </c>
      <c r="AQ224" s="11" t="s">
        <v>32</v>
      </c>
      <c r="AR224" s="11" t="s">
        <v>36</v>
      </c>
      <c r="AS224" s="11" t="s">
        <v>33</v>
      </c>
      <c r="AT224" s="11" t="s">
        <v>28</v>
      </c>
      <c r="AU224" s="11" t="s">
        <v>46</v>
      </c>
      <c r="AV224" s="11" t="s">
        <v>35</v>
      </c>
      <c r="AW224" s="11" t="s">
        <v>60</v>
      </c>
    </row>
    <row r="225" spans="41:49" x14ac:dyDescent="0.25">
      <c r="AO225" s="11" t="s">
        <v>382</v>
      </c>
      <c r="AP225" s="11" t="s">
        <v>30</v>
      </c>
      <c r="AQ225" s="11" t="s">
        <v>32</v>
      </c>
      <c r="AR225" s="11" t="s">
        <v>33</v>
      </c>
      <c r="AS225" s="11" t="s">
        <v>55</v>
      </c>
      <c r="AT225" s="11" t="s">
        <v>28</v>
      </c>
      <c r="AU225" s="11" t="s">
        <v>36</v>
      </c>
      <c r="AV225" s="11" t="s">
        <v>35</v>
      </c>
      <c r="AW225" s="11" t="s">
        <v>50</v>
      </c>
    </row>
    <row r="226" spans="41:49" x14ac:dyDescent="0.25">
      <c r="AO226" s="11" t="s">
        <v>383</v>
      </c>
      <c r="AP226" s="11" t="s">
        <v>30</v>
      </c>
      <c r="AQ226" s="11" t="s">
        <v>32</v>
      </c>
      <c r="AR226" s="11" t="s">
        <v>36</v>
      </c>
      <c r="AS226" s="11" t="s">
        <v>33</v>
      </c>
      <c r="AT226" s="11" t="s">
        <v>28</v>
      </c>
      <c r="AU226" s="11" t="s">
        <v>35</v>
      </c>
      <c r="AV226" s="11" t="s">
        <v>50</v>
      </c>
      <c r="AW226" s="11" t="s">
        <v>60</v>
      </c>
    </row>
    <row r="227" spans="41:49" x14ac:dyDescent="0.25">
      <c r="AO227" s="11" t="s">
        <v>384</v>
      </c>
      <c r="AP227" s="11" t="s">
        <v>30</v>
      </c>
      <c r="AQ227" s="11" t="s">
        <v>32</v>
      </c>
      <c r="AR227" s="11" t="s">
        <v>33</v>
      </c>
      <c r="AS227" s="11" t="s">
        <v>55</v>
      </c>
      <c r="AT227" s="11" t="s">
        <v>28</v>
      </c>
      <c r="AU227" s="11" t="s">
        <v>36</v>
      </c>
      <c r="AV227" s="11" t="s">
        <v>35</v>
      </c>
      <c r="AW227" s="11" t="s">
        <v>60</v>
      </c>
    </row>
    <row r="228" spans="41:49" x14ac:dyDescent="0.25">
      <c r="AO228" s="11" t="s">
        <v>385</v>
      </c>
      <c r="AP228" s="11" t="s">
        <v>30</v>
      </c>
      <c r="AQ228" s="11" t="s">
        <v>32</v>
      </c>
      <c r="AR228" s="11" t="s">
        <v>36</v>
      </c>
      <c r="AS228" s="11" t="s">
        <v>55</v>
      </c>
      <c r="AT228" s="11" t="s">
        <v>28</v>
      </c>
      <c r="AU228" s="11" t="s">
        <v>46</v>
      </c>
      <c r="AV228" s="11" t="s">
        <v>35</v>
      </c>
      <c r="AW228" s="11" t="s">
        <v>50</v>
      </c>
    </row>
    <row r="229" spans="41:49" x14ac:dyDescent="0.25">
      <c r="AO229" s="11" t="s">
        <v>386</v>
      </c>
      <c r="AP229" s="11" t="s">
        <v>30</v>
      </c>
      <c r="AQ229" s="11" t="s">
        <v>32</v>
      </c>
      <c r="AR229" s="11" t="s">
        <v>36</v>
      </c>
      <c r="AS229" s="11" t="s">
        <v>46</v>
      </c>
      <c r="AT229" s="11" t="s">
        <v>28</v>
      </c>
      <c r="AU229" s="11" t="s">
        <v>35</v>
      </c>
      <c r="AV229" s="11" t="s">
        <v>50</v>
      </c>
      <c r="AW229" s="11" t="s">
        <v>60</v>
      </c>
    </row>
    <row r="230" spans="41:49" x14ac:dyDescent="0.25">
      <c r="AO230" s="11" t="s">
        <v>387</v>
      </c>
      <c r="AP230" s="11" t="s">
        <v>30</v>
      </c>
      <c r="AQ230" s="11" t="s">
        <v>32</v>
      </c>
      <c r="AR230" s="11" t="s">
        <v>36</v>
      </c>
      <c r="AS230" s="11" t="s">
        <v>55</v>
      </c>
      <c r="AT230" s="11" t="s">
        <v>28</v>
      </c>
      <c r="AU230" s="11" t="s">
        <v>46</v>
      </c>
      <c r="AV230" s="11" t="s">
        <v>35</v>
      </c>
      <c r="AW230" s="11" t="s">
        <v>60</v>
      </c>
    </row>
    <row r="231" spans="41:49" x14ac:dyDescent="0.25">
      <c r="AO231" s="11" t="s">
        <v>388</v>
      </c>
      <c r="AP231" s="11" t="s">
        <v>30</v>
      </c>
      <c r="AQ231" s="11" t="s">
        <v>32</v>
      </c>
      <c r="AR231" s="11" t="s">
        <v>36</v>
      </c>
      <c r="AS231" s="11" t="s">
        <v>55</v>
      </c>
      <c r="AT231" s="11" t="s">
        <v>28</v>
      </c>
      <c r="AU231" s="11" t="s">
        <v>35</v>
      </c>
      <c r="AV231" s="11" t="s">
        <v>50</v>
      </c>
      <c r="AW231" s="11" t="s">
        <v>60</v>
      </c>
    </row>
    <row r="232" spans="41:49" x14ac:dyDescent="0.25">
      <c r="AO232" s="11" t="s">
        <v>389</v>
      </c>
      <c r="AP232" s="11" t="s">
        <v>30</v>
      </c>
      <c r="AQ232" s="11" t="s">
        <v>31</v>
      </c>
      <c r="AR232" s="11" t="s">
        <v>32</v>
      </c>
      <c r="AS232" s="11" t="s">
        <v>33</v>
      </c>
      <c r="AT232" s="11" t="s">
        <v>28</v>
      </c>
      <c r="AU232" s="11" t="s">
        <v>46</v>
      </c>
      <c r="AV232" s="11" t="s">
        <v>50</v>
      </c>
      <c r="AW232" s="11" t="s">
        <v>36</v>
      </c>
    </row>
    <row r="233" spans="41:49" x14ac:dyDescent="0.25">
      <c r="AO233" s="11" t="s">
        <v>390</v>
      </c>
      <c r="AP233" s="11" t="s">
        <v>30</v>
      </c>
      <c r="AQ233" s="11" t="s">
        <v>32</v>
      </c>
      <c r="AR233" s="11" t="s">
        <v>33</v>
      </c>
      <c r="AS233" s="11" t="s">
        <v>55</v>
      </c>
      <c r="AT233" s="11" t="s">
        <v>28</v>
      </c>
      <c r="AU233" s="11" t="s">
        <v>46</v>
      </c>
      <c r="AV233" s="11" t="s">
        <v>31</v>
      </c>
      <c r="AW233" s="11" t="s">
        <v>36</v>
      </c>
    </row>
    <row r="234" spans="41:49" x14ac:dyDescent="0.25">
      <c r="AO234" s="11" t="s">
        <v>391</v>
      </c>
      <c r="AP234" s="11" t="s">
        <v>30</v>
      </c>
      <c r="AQ234" s="11" t="s">
        <v>31</v>
      </c>
      <c r="AR234" s="11" t="s">
        <v>32</v>
      </c>
      <c r="AS234" s="11" t="s">
        <v>33</v>
      </c>
      <c r="AT234" s="11" t="s">
        <v>28</v>
      </c>
      <c r="AU234" s="11" t="s">
        <v>46</v>
      </c>
      <c r="AV234" s="11" t="s">
        <v>36</v>
      </c>
      <c r="AW234" s="11" t="s">
        <v>60</v>
      </c>
    </row>
    <row r="235" spans="41:49" x14ac:dyDescent="0.25">
      <c r="AO235" s="11" t="s">
        <v>392</v>
      </c>
      <c r="AP235" s="11" t="s">
        <v>30</v>
      </c>
      <c r="AQ235" s="11" t="s">
        <v>32</v>
      </c>
      <c r="AR235" s="11" t="s">
        <v>33</v>
      </c>
      <c r="AS235" s="11" t="s">
        <v>55</v>
      </c>
      <c r="AT235" s="11" t="s">
        <v>28</v>
      </c>
      <c r="AU235" s="11" t="s">
        <v>36</v>
      </c>
      <c r="AV235" s="11" t="s">
        <v>31</v>
      </c>
      <c r="AW235" s="11" t="s">
        <v>50</v>
      </c>
    </row>
    <row r="236" spans="41:49" x14ac:dyDescent="0.25">
      <c r="AO236" s="11" t="s">
        <v>393</v>
      </c>
      <c r="AP236" s="11" t="s">
        <v>30</v>
      </c>
      <c r="AQ236" s="11" t="s">
        <v>31</v>
      </c>
      <c r="AR236" s="11" t="s">
        <v>32</v>
      </c>
      <c r="AS236" s="11" t="s">
        <v>33</v>
      </c>
      <c r="AT236" s="11" t="s">
        <v>28</v>
      </c>
      <c r="AU236" s="11" t="s">
        <v>36</v>
      </c>
      <c r="AV236" s="11" t="s">
        <v>50</v>
      </c>
      <c r="AW236" s="11" t="s">
        <v>60</v>
      </c>
    </row>
    <row r="237" spans="41:49" x14ac:dyDescent="0.25">
      <c r="AO237" s="11" t="s">
        <v>394</v>
      </c>
      <c r="AP237" s="11" t="s">
        <v>30</v>
      </c>
      <c r="AQ237" s="11" t="s">
        <v>32</v>
      </c>
      <c r="AR237" s="11" t="s">
        <v>33</v>
      </c>
      <c r="AS237" s="11" t="s">
        <v>55</v>
      </c>
      <c r="AT237" s="11" t="s">
        <v>28</v>
      </c>
      <c r="AU237" s="11" t="s">
        <v>36</v>
      </c>
      <c r="AV237" s="11" t="s">
        <v>31</v>
      </c>
      <c r="AW237" s="11" t="s">
        <v>60</v>
      </c>
    </row>
    <row r="238" spans="41:49" x14ac:dyDescent="0.25">
      <c r="AO238" s="11" t="s">
        <v>395</v>
      </c>
      <c r="AP238" s="11" t="s">
        <v>30</v>
      </c>
      <c r="AQ238" s="11" t="s">
        <v>31</v>
      </c>
      <c r="AR238" s="11" t="s">
        <v>32</v>
      </c>
      <c r="AS238" s="11" t="s">
        <v>55</v>
      </c>
      <c r="AT238" s="11" t="s">
        <v>28</v>
      </c>
      <c r="AU238" s="11" t="s">
        <v>46</v>
      </c>
      <c r="AV238" s="11" t="s">
        <v>50</v>
      </c>
      <c r="AW238" s="11" t="s">
        <v>36</v>
      </c>
    </row>
    <row r="239" spans="41:49" x14ac:dyDescent="0.25">
      <c r="AO239" s="11" t="s">
        <v>396</v>
      </c>
      <c r="AP239" s="11" t="s">
        <v>30</v>
      </c>
      <c r="AQ239" s="11" t="s">
        <v>31</v>
      </c>
      <c r="AR239" s="11" t="s">
        <v>32</v>
      </c>
      <c r="AS239" s="11" t="s">
        <v>36</v>
      </c>
      <c r="AT239" s="11" t="s">
        <v>28</v>
      </c>
      <c r="AU239" s="11" t="s">
        <v>46</v>
      </c>
      <c r="AV239" s="11" t="s">
        <v>50</v>
      </c>
      <c r="AW239" s="11" t="s">
        <v>60</v>
      </c>
    </row>
    <row r="240" spans="41:49" x14ac:dyDescent="0.25">
      <c r="AO240" s="11" t="s">
        <v>397</v>
      </c>
      <c r="AP240" s="11" t="s">
        <v>30</v>
      </c>
      <c r="AQ240" s="11" t="s">
        <v>31</v>
      </c>
      <c r="AR240" s="11" t="s">
        <v>32</v>
      </c>
      <c r="AS240" s="11" t="s">
        <v>55</v>
      </c>
      <c r="AT240" s="11" t="s">
        <v>28</v>
      </c>
      <c r="AU240" s="11" t="s">
        <v>46</v>
      </c>
      <c r="AV240" s="11" t="s">
        <v>36</v>
      </c>
      <c r="AW240" s="11" t="s">
        <v>60</v>
      </c>
    </row>
    <row r="241" spans="41:49" x14ac:dyDescent="0.25">
      <c r="AO241" s="11" t="s">
        <v>398</v>
      </c>
      <c r="AP241" s="11" t="s">
        <v>30</v>
      </c>
      <c r="AQ241" s="11" t="s">
        <v>31</v>
      </c>
      <c r="AR241" s="11" t="s">
        <v>32</v>
      </c>
      <c r="AS241" s="11" t="s">
        <v>55</v>
      </c>
      <c r="AT241" s="11" t="s">
        <v>28</v>
      </c>
      <c r="AU241" s="11" t="s">
        <v>36</v>
      </c>
      <c r="AV241" s="11" t="s">
        <v>50</v>
      </c>
      <c r="AW241" s="11" t="s">
        <v>60</v>
      </c>
    </row>
    <row r="242" spans="41:49" x14ac:dyDescent="0.25">
      <c r="AO242" s="11" t="s">
        <v>399</v>
      </c>
      <c r="AP242" s="11" t="s">
        <v>30</v>
      </c>
      <c r="AQ242" s="11" t="s">
        <v>32</v>
      </c>
      <c r="AR242" s="11" t="s">
        <v>33</v>
      </c>
      <c r="AS242" s="11" t="s">
        <v>55</v>
      </c>
      <c r="AT242" s="11" t="s">
        <v>28</v>
      </c>
      <c r="AU242" s="11" t="s">
        <v>46</v>
      </c>
      <c r="AV242" s="11" t="s">
        <v>50</v>
      </c>
      <c r="AW242" s="11" t="s">
        <v>36</v>
      </c>
    </row>
    <row r="243" spans="41:49" x14ac:dyDescent="0.25">
      <c r="AO243" s="11" t="s">
        <v>400</v>
      </c>
      <c r="AP243" s="11" t="s">
        <v>30</v>
      </c>
      <c r="AQ243" s="11" t="s">
        <v>32</v>
      </c>
      <c r="AR243" s="11" t="s">
        <v>36</v>
      </c>
      <c r="AS243" s="11" t="s">
        <v>33</v>
      </c>
      <c r="AT243" s="11" t="s">
        <v>28</v>
      </c>
      <c r="AU243" s="11" t="s">
        <v>46</v>
      </c>
      <c r="AV243" s="11" t="s">
        <v>50</v>
      </c>
      <c r="AW243" s="11" t="s">
        <v>60</v>
      </c>
    </row>
    <row r="244" spans="41:49" x14ac:dyDescent="0.25">
      <c r="AO244" s="11" t="s">
        <v>401</v>
      </c>
      <c r="AP244" s="11" t="s">
        <v>30</v>
      </c>
      <c r="AQ244" s="11" t="s">
        <v>32</v>
      </c>
      <c r="AR244" s="11" t="s">
        <v>33</v>
      </c>
      <c r="AS244" s="11" t="s">
        <v>55</v>
      </c>
      <c r="AT244" s="11" t="s">
        <v>28</v>
      </c>
      <c r="AU244" s="11" t="s">
        <v>46</v>
      </c>
      <c r="AV244" s="11" t="s">
        <v>36</v>
      </c>
      <c r="AW244" s="11" t="s">
        <v>60</v>
      </c>
    </row>
    <row r="245" spans="41:49" x14ac:dyDescent="0.25">
      <c r="AO245" s="11" t="s">
        <v>402</v>
      </c>
      <c r="AP245" s="11" t="s">
        <v>30</v>
      </c>
      <c r="AQ245" s="11" t="s">
        <v>32</v>
      </c>
      <c r="AR245" s="11" t="s">
        <v>33</v>
      </c>
      <c r="AS245" s="11" t="s">
        <v>55</v>
      </c>
      <c r="AT245" s="11" t="s">
        <v>28</v>
      </c>
      <c r="AU245" s="11" t="s">
        <v>36</v>
      </c>
      <c r="AV245" s="11" t="s">
        <v>50</v>
      </c>
      <c r="AW245" s="11" t="s">
        <v>60</v>
      </c>
    </row>
    <row r="246" spans="41:49" x14ac:dyDescent="0.25">
      <c r="AO246" s="11" t="s">
        <v>403</v>
      </c>
      <c r="AP246" s="11" t="s">
        <v>30</v>
      </c>
      <c r="AQ246" s="11" t="s">
        <v>32</v>
      </c>
      <c r="AR246" s="11" t="s">
        <v>36</v>
      </c>
      <c r="AS246" s="11" t="s">
        <v>55</v>
      </c>
      <c r="AT246" s="11" t="s">
        <v>28</v>
      </c>
      <c r="AU246" s="11" t="s">
        <v>46</v>
      </c>
      <c r="AV246" s="11" t="s">
        <v>50</v>
      </c>
      <c r="AW246" s="11" t="s">
        <v>60</v>
      </c>
    </row>
    <row r="247" spans="41:49" x14ac:dyDescent="0.25">
      <c r="AO247" s="11" t="s">
        <v>404</v>
      </c>
      <c r="AP247" s="11" t="s">
        <v>30</v>
      </c>
      <c r="AQ247" s="11" t="s">
        <v>31</v>
      </c>
      <c r="AR247" s="11" t="s">
        <v>32</v>
      </c>
      <c r="AS247" s="11" t="s">
        <v>33</v>
      </c>
      <c r="AT247" s="11" t="s">
        <v>28</v>
      </c>
      <c r="AU247" s="11" t="s">
        <v>46</v>
      </c>
      <c r="AV247" s="11" t="s">
        <v>35</v>
      </c>
      <c r="AW247" s="11" t="s">
        <v>50</v>
      </c>
    </row>
    <row r="248" spans="41:49" x14ac:dyDescent="0.25">
      <c r="AO248" s="11" t="s">
        <v>405</v>
      </c>
      <c r="AP248" s="11" t="s">
        <v>30</v>
      </c>
      <c r="AQ248" s="11" t="s">
        <v>32</v>
      </c>
      <c r="AR248" s="11" t="s">
        <v>33</v>
      </c>
      <c r="AS248" s="11" t="s">
        <v>55</v>
      </c>
      <c r="AT248" s="11" t="s">
        <v>28</v>
      </c>
      <c r="AU248" s="11" t="s">
        <v>35</v>
      </c>
      <c r="AV248" s="11" t="s">
        <v>31</v>
      </c>
      <c r="AW248" s="11" t="s">
        <v>46</v>
      </c>
    </row>
    <row r="249" spans="41:49" x14ac:dyDescent="0.25">
      <c r="AO249" s="11" t="s">
        <v>406</v>
      </c>
      <c r="AP249" s="11" t="s">
        <v>30</v>
      </c>
      <c r="AQ249" s="11" t="s">
        <v>31</v>
      </c>
      <c r="AR249" s="11" t="s">
        <v>32</v>
      </c>
      <c r="AS249" s="11" t="s">
        <v>33</v>
      </c>
      <c r="AT249" s="11" t="s">
        <v>28</v>
      </c>
      <c r="AU249" s="11" t="s">
        <v>46</v>
      </c>
      <c r="AV249" s="11" t="s">
        <v>35</v>
      </c>
      <c r="AW249" s="11" t="s">
        <v>60</v>
      </c>
    </row>
    <row r="250" spans="41:49" x14ac:dyDescent="0.25">
      <c r="AO250" s="11" t="s">
        <v>407</v>
      </c>
      <c r="AP250" s="11" t="s">
        <v>30</v>
      </c>
      <c r="AQ250" s="11" t="s">
        <v>32</v>
      </c>
      <c r="AR250" s="11" t="s">
        <v>33</v>
      </c>
      <c r="AS250" s="11" t="s">
        <v>55</v>
      </c>
      <c r="AT250" s="11" t="s">
        <v>28</v>
      </c>
      <c r="AU250" s="11" t="s">
        <v>35</v>
      </c>
      <c r="AV250" s="11" t="s">
        <v>31</v>
      </c>
      <c r="AW250" s="11" t="s">
        <v>50</v>
      </c>
    </row>
    <row r="251" spans="41:49" x14ac:dyDescent="0.25">
      <c r="AO251" s="11" t="s">
        <v>408</v>
      </c>
      <c r="AP251" s="11" t="s">
        <v>30</v>
      </c>
      <c r="AQ251" s="11" t="s">
        <v>31</v>
      </c>
      <c r="AR251" s="11" t="s">
        <v>32</v>
      </c>
      <c r="AS251" s="11" t="s">
        <v>33</v>
      </c>
      <c r="AT251" s="11" t="s">
        <v>28</v>
      </c>
      <c r="AU251" s="11" t="s">
        <v>35</v>
      </c>
      <c r="AV251" s="11" t="s">
        <v>50</v>
      </c>
      <c r="AW251" s="11" t="s">
        <v>60</v>
      </c>
    </row>
    <row r="252" spans="41:49" x14ac:dyDescent="0.25">
      <c r="AO252" s="11" t="s">
        <v>409</v>
      </c>
      <c r="AP252" s="11" t="s">
        <v>30</v>
      </c>
      <c r="AQ252" s="11" t="s">
        <v>32</v>
      </c>
      <c r="AR252" s="11" t="s">
        <v>33</v>
      </c>
      <c r="AS252" s="11" t="s">
        <v>55</v>
      </c>
      <c r="AT252" s="11" t="s">
        <v>28</v>
      </c>
      <c r="AU252" s="11" t="s">
        <v>35</v>
      </c>
      <c r="AV252" s="11" t="s">
        <v>31</v>
      </c>
      <c r="AW252" s="11" t="s">
        <v>60</v>
      </c>
    </row>
    <row r="253" spans="41:49" x14ac:dyDescent="0.25">
      <c r="AO253" s="11" t="s">
        <v>410</v>
      </c>
      <c r="AP253" s="11" t="s">
        <v>30</v>
      </c>
      <c r="AQ253" s="11" t="s">
        <v>31</v>
      </c>
      <c r="AR253" s="11" t="s">
        <v>32</v>
      </c>
      <c r="AS253" s="11" t="s">
        <v>55</v>
      </c>
      <c r="AT253" s="11" t="s">
        <v>28</v>
      </c>
      <c r="AU253" s="11" t="s">
        <v>46</v>
      </c>
      <c r="AV253" s="11" t="s">
        <v>35</v>
      </c>
      <c r="AW253" s="11" t="s">
        <v>50</v>
      </c>
    </row>
    <row r="254" spans="41:49" x14ac:dyDescent="0.25">
      <c r="AO254" s="11" t="s">
        <v>411</v>
      </c>
      <c r="AP254" s="11" t="s">
        <v>30</v>
      </c>
      <c r="AQ254" s="11" t="s">
        <v>31</v>
      </c>
      <c r="AR254" s="11" t="s">
        <v>32</v>
      </c>
      <c r="AS254" s="11" t="s">
        <v>46</v>
      </c>
      <c r="AT254" s="11" t="s">
        <v>28</v>
      </c>
      <c r="AU254" s="11" t="s">
        <v>35</v>
      </c>
      <c r="AV254" s="11" t="s">
        <v>50</v>
      </c>
      <c r="AW254" s="11" t="s">
        <v>60</v>
      </c>
    </row>
    <row r="255" spans="41:49" x14ac:dyDescent="0.25">
      <c r="AO255" s="11" t="s">
        <v>412</v>
      </c>
      <c r="AP255" s="11" t="s">
        <v>30</v>
      </c>
      <c r="AQ255" s="11" t="s">
        <v>31</v>
      </c>
      <c r="AR255" s="11" t="s">
        <v>32</v>
      </c>
      <c r="AS255" s="11" t="s">
        <v>55</v>
      </c>
      <c r="AT255" s="11" t="s">
        <v>28</v>
      </c>
      <c r="AU255" s="11" t="s">
        <v>46</v>
      </c>
      <c r="AV255" s="11" t="s">
        <v>35</v>
      </c>
      <c r="AW255" s="11" t="s">
        <v>60</v>
      </c>
    </row>
    <row r="256" spans="41:49" x14ac:dyDescent="0.25">
      <c r="AO256" s="11" t="s">
        <v>413</v>
      </c>
      <c r="AP256" s="11" t="s">
        <v>30</v>
      </c>
      <c r="AQ256" s="11" t="s">
        <v>31</v>
      </c>
      <c r="AR256" s="11" t="s">
        <v>32</v>
      </c>
      <c r="AS256" s="11" t="s">
        <v>55</v>
      </c>
      <c r="AT256" s="11" t="s">
        <v>28</v>
      </c>
      <c r="AU256" s="11" t="s">
        <v>35</v>
      </c>
      <c r="AV256" s="11" t="s">
        <v>50</v>
      </c>
      <c r="AW256" s="11" t="s">
        <v>60</v>
      </c>
    </row>
    <row r="257" spans="41:49" x14ac:dyDescent="0.25">
      <c r="AO257" s="11" t="s">
        <v>414</v>
      </c>
      <c r="AP257" s="11" t="s">
        <v>30</v>
      </c>
      <c r="AQ257" s="11" t="s">
        <v>32</v>
      </c>
      <c r="AR257" s="11" t="s">
        <v>33</v>
      </c>
      <c r="AS257" s="11" t="s">
        <v>55</v>
      </c>
      <c r="AT257" s="11" t="s">
        <v>28</v>
      </c>
      <c r="AU257" s="11" t="s">
        <v>46</v>
      </c>
      <c r="AV257" s="11" t="s">
        <v>35</v>
      </c>
      <c r="AW257" s="11" t="s">
        <v>50</v>
      </c>
    </row>
    <row r="258" spans="41:49" x14ac:dyDescent="0.25">
      <c r="AO258" s="11" t="s">
        <v>415</v>
      </c>
      <c r="AP258" s="11" t="s">
        <v>30</v>
      </c>
      <c r="AQ258" s="11" t="s">
        <v>32</v>
      </c>
      <c r="AR258" s="11" t="s">
        <v>35</v>
      </c>
      <c r="AS258" s="11" t="s">
        <v>33</v>
      </c>
      <c r="AT258" s="11" t="s">
        <v>28</v>
      </c>
      <c r="AU258" s="11" t="s">
        <v>46</v>
      </c>
      <c r="AV258" s="11" t="s">
        <v>50</v>
      </c>
      <c r="AW258" s="11" t="s">
        <v>60</v>
      </c>
    </row>
    <row r="259" spans="41:49" x14ac:dyDescent="0.25">
      <c r="AO259" s="11" t="s">
        <v>416</v>
      </c>
      <c r="AP259" s="11" t="s">
        <v>30</v>
      </c>
      <c r="AQ259" s="11" t="s">
        <v>32</v>
      </c>
      <c r="AR259" s="11" t="s">
        <v>33</v>
      </c>
      <c r="AS259" s="11" t="s">
        <v>55</v>
      </c>
      <c r="AT259" s="11" t="s">
        <v>28</v>
      </c>
      <c r="AU259" s="11" t="s">
        <v>46</v>
      </c>
      <c r="AV259" s="11" t="s">
        <v>35</v>
      </c>
      <c r="AW259" s="11" t="s">
        <v>60</v>
      </c>
    </row>
    <row r="260" spans="41:49" x14ac:dyDescent="0.25">
      <c r="AO260" s="11" t="s">
        <v>417</v>
      </c>
      <c r="AP260" s="11" t="s">
        <v>30</v>
      </c>
      <c r="AQ260" s="11" t="s">
        <v>32</v>
      </c>
      <c r="AR260" s="11" t="s">
        <v>33</v>
      </c>
      <c r="AS260" s="11" t="s">
        <v>55</v>
      </c>
      <c r="AT260" s="11" t="s">
        <v>28</v>
      </c>
      <c r="AU260" s="11" t="s">
        <v>35</v>
      </c>
      <c r="AV260" s="11" t="s">
        <v>50</v>
      </c>
      <c r="AW260" s="11" t="s">
        <v>60</v>
      </c>
    </row>
    <row r="261" spans="41:49" x14ac:dyDescent="0.25">
      <c r="AO261" s="11" t="s">
        <v>418</v>
      </c>
      <c r="AP261" s="11" t="s">
        <v>30</v>
      </c>
      <c r="AQ261" s="11" t="s">
        <v>32</v>
      </c>
      <c r="AR261" s="11" t="s">
        <v>35</v>
      </c>
      <c r="AS261" s="11" t="s">
        <v>55</v>
      </c>
      <c r="AT261" s="11" t="s">
        <v>28</v>
      </c>
      <c r="AU261" s="11" t="s">
        <v>46</v>
      </c>
      <c r="AV261" s="11" t="s">
        <v>50</v>
      </c>
      <c r="AW261" s="11" t="s">
        <v>60</v>
      </c>
    </row>
    <row r="262" spans="41:49" x14ac:dyDescent="0.25">
      <c r="AO262" s="11" t="s">
        <v>419</v>
      </c>
      <c r="AP262" s="11" t="s">
        <v>30</v>
      </c>
      <c r="AQ262" s="11" t="s">
        <v>32</v>
      </c>
      <c r="AR262" s="11" t="s">
        <v>33</v>
      </c>
      <c r="AS262" s="11" t="s">
        <v>55</v>
      </c>
      <c r="AT262" s="11" t="s">
        <v>28</v>
      </c>
      <c r="AU262" s="11" t="s">
        <v>46</v>
      </c>
      <c r="AV262" s="11" t="s">
        <v>31</v>
      </c>
      <c r="AW262" s="11" t="s">
        <v>50</v>
      </c>
    </row>
    <row r="263" spans="41:49" x14ac:dyDescent="0.25">
      <c r="AO263" s="11" t="s">
        <v>420</v>
      </c>
      <c r="AP263" s="11" t="s">
        <v>30</v>
      </c>
      <c r="AQ263" s="11" t="s">
        <v>31</v>
      </c>
      <c r="AR263" s="11" t="s">
        <v>32</v>
      </c>
      <c r="AS263" s="11" t="s">
        <v>33</v>
      </c>
      <c r="AT263" s="11" t="s">
        <v>28</v>
      </c>
      <c r="AU263" s="11" t="s">
        <v>46</v>
      </c>
      <c r="AV263" s="11" t="s">
        <v>50</v>
      </c>
      <c r="AW263" s="11" t="s">
        <v>60</v>
      </c>
    </row>
    <row r="264" spans="41:49" x14ac:dyDescent="0.25">
      <c r="AO264" s="11" t="s">
        <v>421</v>
      </c>
      <c r="AP264" s="11" t="s">
        <v>30</v>
      </c>
      <c r="AQ264" s="11" t="s">
        <v>32</v>
      </c>
      <c r="AR264" s="11" t="s">
        <v>33</v>
      </c>
      <c r="AS264" s="11" t="s">
        <v>55</v>
      </c>
      <c r="AT264" s="11" t="s">
        <v>28</v>
      </c>
      <c r="AU264" s="11" t="s">
        <v>46</v>
      </c>
      <c r="AV264" s="11" t="s">
        <v>31</v>
      </c>
      <c r="AW264" s="11" t="s">
        <v>60</v>
      </c>
    </row>
    <row r="265" spans="41:49" x14ac:dyDescent="0.25">
      <c r="AO265" s="11" t="s">
        <v>422</v>
      </c>
      <c r="AP265" s="11" t="s">
        <v>30</v>
      </c>
      <c r="AQ265" s="11" t="s">
        <v>32</v>
      </c>
      <c r="AR265" s="11" t="s">
        <v>33</v>
      </c>
      <c r="AS265" s="11" t="s">
        <v>55</v>
      </c>
      <c r="AT265" s="11" t="s">
        <v>28</v>
      </c>
      <c r="AU265" s="11" t="s">
        <v>50</v>
      </c>
      <c r="AV265" s="11" t="s">
        <v>31</v>
      </c>
      <c r="AW265" s="11" t="s">
        <v>60</v>
      </c>
    </row>
    <row r="266" spans="41:49" x14ac:dyDescent="0.25">
      <c r="AO266" s="11" t="s">
        <v>423</v>
      </c>
      <c r="AP266" s="11" t="s">
        <v>30</v>
      </c>
      <c r="AQ266" s="11" t="s">
        <v>31</v>
      </c>
      <c r="AR266" s="11" t="s">
        <v>32</v>
      </c>
      <c r="AS266" s="11" t="s">
        <v>55</v>
      </c>
      <c r="AT266" s="11" t="s">
        <v>28</v>
      </c>
      <c r="AU266" s="11" t="s">
        <v>46</v>
      </c>
      <c r="AV266" s="11" t="s">
        <v>50</v>
      </c>
      <c r="AW266" s="11" t="s">
        <v>60</v>
      </c>
    </row>
    <row r="267" spans="41:49" x14ac:dyDescent="0.25">
      <c r="AO267" s="11" t="s">
        <v>424</v>
      </c>
      <c r="AP267" s="11" t="s">
        <v>30</v>
      </c>
      <c r="AQ267" s="11" t="s">
        <v>32</v>
      </c>
      <c r="AR267" s="11" t="s">
        <v>33</v>
      </c>
      <c r="AS267" s="11" t="s">
        <v>55</v>
      </c>
      <c r="AT267" s="11" t="s">
        <v>28</v>
      </c>
      <c r="AU267" s="11" t="s">
        <v>46</v>
      </c>
      <c r="AV267" s="11" t="s">
        <v>50</v>
      </c>
      <c r="AW267" s="11" t="s">
        <v>60</v>
      </c>
    </row>
    <row r="268" spans="41:49" x14ac:dyDescent="0.25">
      <c r="AO268" s="11" t="s">
        <v>425</v>
      </c>
      <c r="AP268" s="11" t="s">
        <v>28</v>
      </c>
      <c r="AQ268" s="11" t="s">
        <v>31</v>
      </c>
      <c r="AR268" s="11" t="s">
        <v>32</v>
      </c>
      <c r="AS268" s="11" t="s">
        <v>36</v>
      </c>
      <c r="AT268" s="11" t="s">
        <v>33</v>
      </c>
      <c r="AU268" s="11" t="s">
        <v>46</v>
      </c>
      <c r="AV268" s="11" t="s">
        <v>35</v>
      </c>
      <c r="AW268" s="11" t="s">
        <v>50</v>
      </c>
    </row>
    <row r="269" spans="41:49" x14ac:dyDescent="0.25">
      <c r="AO269" s="11" t="s">
        <v>426</v>
      </c>
      <c r="AP269" s="11" t="s">
        <v>28</v>
      </c>
      <c r="AQ269" s="11" t="s">
        <v>31</v>
      </c>
      <c r="AR269" s="11" t="s">
        <v>32</v>
      </c>
      <c r="AS269" s="11" t="s">
        <v>55</v>
      </c>
      <c r="AT269" s="11" t="s">
        <v>33</v>
      </c>
      <c r="AU269" s="11" t="s">
        <v>46</v>
      </c>
      <c r="AV269" s="11" t="s">
        <v>35</v>
      </c>
      <c r="AW269" s="11" t="s">
        <v>36</v>
      </c>
    </row>
    <row r="270" spans="41:49" x14ac:dyDescent="0.25">
      <c r="AO270" s="11" t="s">
        <v>427</v>
      </c>
      <c r="AP270" s="11" t="s">
        <v>28</v>
      </c>
      <c r="AQ270" s="11" t="s">
        <v>31</v>
      </c>
      <c r="AR270" s="11" t="s">
        <v>32</v>
      </c>
      <c r="AS270" s="11" t="s">
        <v>36</v>
      </c>
      <c r="AT270" s="11" t="s">
        <v>33</v>
      </c>
      <c r="AU270" s="11" t="s">
        <v>46</v>
      </c>
      <c r="AV270" s="11" t="s">
        <v>35</v>
      </c>
      <c r="AW270" s="11" t="s">
        <v>60</v>
      </c>
    </row>
    <row r="271" spans="41:49" x14ac:dyDescent="0.25">
      <c r="AO271" s="11" t="s">
        <v>428</v>
      </c>
      <c r="AP271" s="11" t="s">
        <v>28</v>
      </c>
      <c r="AQ271" s="11" t="s">
        <v>31</v>
      </c>
      <c r="AR271" s="11" t="s">
        <v>32</v>
      </c>
      <c r="AS271" s="11" t="s">
        <v>55</v>
      </c>
      <c r="AT271" s="11" t="s">
        <v>33</v>
      </c>
      <c r="AU271" s="11" t="s">
        <v>36</v>
      </c>
      <c r="AV271" s="11" t="s">
        <v>35</v>
      </c>
      <c r="AW271" s="11" t="s">
        <v>50</v>
      </c>
    </row>
    <row r="272" spans="41:49" x14ac:dyDescent="0.25">
      <c r="AO272" s="11" t="s">
        <v>429</v>
      </c>
      <c r="AP272" s="11" t="s">
        <v>28</v>
      </c>
      <c r="AQ272" s="11" t="s">
        <v>31</v>
      </c>
      <c r="AR272" s="11" t="s">
        <v>32</v>
      </c>
      <c r="AS272" s="11" t="s">
        <v>36</v>
      </c>
      <c r="AT272" s="11" t="s">
        <v>33</v>
      </c>
      <c r="AU272" s="11" t="s">
        <v>35</v>
      </c>
      <c r="AV272" s="11" t="s">
        <v>50</v>
      </c>
      <c r="AW272" s="11" t="s">
        <v>60</v>
      </c>
    </row>
    <row r="273" spans="41:49" x14ac:dyDescent="0.25">
      <c r="AO273" s="11" t="s">
        <v>430</v>
      </c>
      <c r="AP273" s="11" t="s">
        <v>28</v>
      </c>
      <c r="AQ273" s="11" t="s">
        <v>31</v>
      </c>
      <c r="AR273" s="11" t="s">
        <v>32</v>
      </c>
      <c r="AS273" s="11" t="s">
        <v>55</v>
      </c>
      <c r="AT273" s="11" t="s">
        <v>33</v>
      </c>
      <c r="AU273" s="11" t="s">
        <v>36</v>
      </c>
      <c r="AV273" s="11" t="s">
        <v>35</v>
      </c>
      <c r="AW273" s="11" t="s">
        <v>60</v>
      </c>
    </row>
    <row r="274" spans="41:49" x14ac:dyDescent="0.25">
      <c r="AO274" s="11" t="s">
        <v>431</v>
      </c>
      <c r="AP274" s="11" t="s">
        <v>28</v>
      </c>
      <c r="AQ274" s="11" t="s">
        <v>31</v>
      </c>
      <c r="AR274" s="11" t="s">
        <v>32</v>
      </c>
      <c r="AS274" s="11" t="s">
        <v>55</v>
      </c>
      <c r="AT274" s="11" t="s">
        <v>36</v>
      </c>
      <c r="AU274" s="11" t="s">
        <v>46</v>
      </c>
      <c r="AV274" s="11" t="s">
        <v>35</v>
      </c>
      <c r="AW274" s="11" t="s">
        <v>50</v>
      </c>
    </row>
    <row r="275" spans="41:49" x14ac:dyDescent="0.25">
      <c r="AO275" s="11" t="s">
        <v>432</v>
      </c>
      <c r="AP275" s="11" t="s">
        <v>28</v>
      </c>
      <c r="AQ275" s="11" t="s">
        <v>31</v>
      </c>
      <c r="AR275" s="11" t="s">
        <v>32</v>
      </c>
      <c r="AS275" s="11" t="s">
        <v>36</v>
      </c>
      <c r="AT275" s="11" t="s">
        <v>46</v>
      </c>
      <c r="AU275" s="11" t="s">
        <v>35</v>
      </c>
      <c r="AV275" s="11" t="s">
        <v>50</v>
      </c>
      <c r="AW275" s="11" t="s">
        <v>60</v>
      </c>
    </row>
    <row r="276" spans="41:49" x14ac:dyDescent="0.25">
      <c r="AO276" s="11" t="s">
        <v>433</v>
      </c>
      <c r="AP276" s="11" t="s">
        <v>28</v>
      </c>
      <c r="AQ276" s="11" t="s">
        <v>31</v>
      </c>
      <c r="AR276" s="11" t="s">
        <v>32</v>
      </c>
      <c r="AS276" s="11" t="s">
        <v>55</v>
      </c>
      <c r="AT276" s="11" t="s">
        <v>36</v>
      </c>
      <c r="AU276" s="11" t="s">
        <v>46</v>
      </c>
      <c r="AV276" s="11" t="s">
        <v>35</v>
      </c>
      <c r="AW276" s="11" t="s">
        <v>60</v>
      </c>
    </row>
    <row r="277" spans="41:49" x14ac:dyDescent="0.25">
      <c r="AO277" s="11" t="s">
        <v>434</v>
      </c>
      <c r="AP277" s="11" t="s">
        <v>28</v>
      </c>
      <c r="AQ277" s="11" t="s">
        <v>31</v>
      </c>
      <c r="AR277" s="11" t="s">
        <v>32</v>
      </c>
      <c r="AS277" s="11" t="s">
        <v>55</v>
      </c>
      <c r="AT277" s="11" t="s">
        <v>36</v>
      </c>
      <c r="AU277" s="11" t="s">
        <v>35</v>
      </c>
      <c r="AV277" s="11" t="s">
        <v>50</v>
      </c>
      <c r="AW277" s="11" t="s">
        <v>60</v>
      </c>
    </row>
    <row r="278" spans="41:49" x14ac:dyDescent="0.25">
      <c r="AO278" s="11" t="s">
        <v>435</v>
      </c>
      <c r="AP278" s="11" t="s">
        <v>28</v>
      </c>
      <c r="AQ278" s="11" t="s">
        <v>32</v>
      </c>
      <c r="AR278" s="11" t="s">
        <v>36</v>
      </c>
      <c r="AS278" s="11" t="s">
        <v>55</v>
      </c>
      <c r="AT278" s="11" t="s">
        <v>33</v>
      </c>
      <c r="AU278" s="11" t="s">
        <v>46</v>
      </c>
      <c r="AV278" s="11" t="s">
        <v>35</v>
      </c>
      <c r="AW278" s="11" t="s">
        <v>50</v>
      </c>
    </row>
    <row r="279" spans="41:49" x14ac:dyDescent="0.25">
      <c r="AO279" s="11" t="s">
        <v>436</v>
      </c>
      <c r="AP279" s="11" t="s">
        <v>28</v>
      </c>
      <c r="AQ279" s="11" t="s">
        <v>32</v>
      </c>
      <c r="AR279" s="11" t="s">
        <v>36</v>
      </c>
      <c r="AS279" s="11" t="s">
        <v>33</v>
      </c>
      <c r="AT279" s="11" t="s">
        <v>46</v>
      </c>
      <c r="AU279" s="11" t="s">
        <v>35</v>
      </c>
      <c r="AV279" s="11" t="s">
        <v>50</v>
      </c>
      <c r="AW279" s="11" t="s">
        <v>60</v>
      </c>
    </row>
    <row r="280" spans="41:49" x14ac:dyDescent="0.25">
      <c r="AO280" s="11" t="s">
        <v>437</v>
      </c>
      <c r="AP280" s="11" t="s">
        <v>28</v>
      </c>
      <c r="AQ280" s="11" t="s">
        <v>32</v>
      </c>
      <c r="AR280" s="11" t="s">
        <v>36</v>
      </c>
      <c r="AS280" s="11" t="s">
        <v>55</v>
      </c>
      <c r="AT280" s="11" t="s">
        <v>33</v>
      </c>
      <c r="AU280" s="11" t="s">
        <v>46</v>
      </c>
      <c r="AV280" s="11" t="s">
        <v>35</v>
      </c>
      <c r="AW280" s="11" t="s">
        <v>60</v>
      </c>
    </row>
    <row r="281" spans="41:49" x14ac:dyDescent="0.25">
      <c r="AO281" s="11" t="s">
        <v>438</v>
      </c>
      <c r="AP281" s="11" t="s">
        <v>28</v>
      </c>
      <c r="AQ281" s="11" t="s">
        <v>32</v>
      </c>
      <c r="AR281" s="11" t="s">
        <v>36</v>
      </c>
      <c r="AS281" s="11" t="s">
        <v>55</v>
      </c>
      <c r="AT281" s="11" t="s">
        <v>33</v>
      </c>
      <c r="AU281" s="11" t="s">
        <v>35</v>
      </c>
      <c r="AV281" s="11" t="s">
        <v>50</v>
      </c>
      <c r="AW281" s="11" t="s">
        <v>60</v>
      </c>
    </row>
    <row r="282" spans="41:49" x14ac:dyDescent="0.25">
      <c r="AO282" s="11" t="s">
        <v>439</v>
      </c>
      <c r="AP282" s="11" t="s">
        <v>28</v>
      </c>
      <c r="AQ282" s="11" t="s">
        <v>32</v>
      </c>
      <c r="AR282" s="11" t="s">
        <v>36</v>
      </c>
      <c r="AS282" s="11" t="s">
        <v>55</v>
      </c>
      <c r="AT282" s="11" t="s">
        <v>46</v>
      </c>
      <c r="AU282" s="11" t="s">
        <v>35</v>
      </c>
      <c r="AV282" s="11" t="s">
        <v>50</v>
      </c>
      <c r="AW282" s="11" t="s">
        <v>60</v>
      </c>
    </row>
    <row r="283" spans="41:49" x14ac:dyDescent="0.25">
      <c r="AO283" s="11" t="s">
        <v>440</v>
      </c>
      <c r="AP283" s="11" t="s">
        <v>28</v>
      </c>
      <c r="AQ283" s="11" t="s">
        <v>31</v>
      </c>
      <c r="AR283" s="11" t="s">
        <v>32</v>
      </c>
      <c r="AS283" s="11" t="s">
        <v>55</v>
      </c>
      <c r="AT283" s="11" t="s">
        <v>33</v>
      </c>
      <c r="AU283" s="11" t="s">
        <v>46</v>
      </c>
      <c r="AV283" s="11" t="s">
        <v>50</v>
      </c>
      <c r="AW283" s="11" t="s">
        <v>36</v>
      </c>
    </row>
    <row r="284" spans="41:49" x14ac:dyDescent="0.25">
      <c r="AO284" s="11" t="s">
        <v>441</v>
      </c>
      <c r="AP284" s="11" t="s">
        <v>28</v>
      </c>
      <c r="AQ284" s="11" t="s">
        <v>31</v>
      </c>
      <c r="AR284" s="11" t="s">
        <v>32</v>
      </c>
      <c r="AS284" s="11" t="s">
        <v>36</v>
      </c>
      <c r="AT284" s="11" t="s">
        <v>33</v>
      </c>
      <c r="AU284" s="11" t="s">
        <v>46</v>
      </c>
      <c r="AV284" s="11" t="s">
        <v>50</v>
      </c>
      <c r="AW284" s="11" t="s">
        <v>60</v>
      </c>
    </row>
    <row r="285" spans="41:49" x14ac:dyDescent="0.25">
      <c r="AO285" s="11" t="s">
        <v>442</v>
      </c>
      <c r="AP285" s="11" t="s">
        <v>28</v>
      </c>
      <c r="AQ285" s="11" t="s">
        <v>31</v>
      </c>
      <c r="AR285" s="11" t="s">
        <v>32</v>
      </c>
      <c r="AS285" s="11" t="s">
        <v>55</v>
      </c>
      <c r="AT285" s="11" t="s">
        <v>33</v>
      </c>
      <c r="AU285" s="11" t="s">
        <v>46</v>
      </c>
      <c r="AV285" s="11" t="s">
        <v>36</v>
      </c>
      <c r="AW285" s="11" t="s">
        <v>60</v>
      </c>
    </row>
    <row r="286" spans="41:49" x14ac:dyDescent="0.25">
      <c r="AO286" s="11" t="s">
        <v>443</v>
      </c>
      <c r="AP286" s="11" t="s">
        <v>28</v>
      </c>
      <c r="AQ286" s="11" t="s">
        <v>31</v>
      </c>
      <c r="AR286" s="11" t="s">
        <v>32</v>
      </c>
      <c r="AS286" s="11" t="s">
        <v>55</v>
      </c>
      <c r="AT286" s="11" t="s">
        <v>33</v>
      </c>
      <c r="AU286" s="11" t="s">
        <v>36</v>
      </c>
      <c r="AV286" s="11" t="s">
        <v>50</v>
      </c>
      <c r="AW286" s="11" t="s">
        <v>60</v>
      </c>
    </row>
    <row r="287" spans="41:49" x14ac:dyDescent="0.25">
      <c r="AO287" s="11" t="s">
        <v>444</v>
      </c>
      <c r="AP287" s="11" t="s">
        <v>28</v>
      </c>
      <c r="AQ287" s="11" t="s">
        <v>31</v>
      </c>
      <c r="AR287" s="11" t="s">
        <v>32</v>
      </c>
      <c r="AS287" s="11" t="s">
        <v>55</v>
      </c>
      <c r="AT287" s="11" t="s">
        <v>36</v>
      </c>
      <c r="AU287" s="11" t="s">
        <v>46</v>
      </c>
      <c r="AV287" s="11" t="s">
        <v>50</v>
      </c>
      <c r="AW287" s="11" t="s">
        <v>60</v>
      </c>
    </row>
    <row r="288" spans="41:49" x14ac:dyDescent="0.25">
      <c r="AO288" s="11" t="s">
        <v>445</v>
      </c>
      <c r="AP288" s="11" t="s">
        <v>28</v>
      </c>
      <c r="AQ288" s="11" t="s">
        <v>32</v>
      </c>
      <c r="AR288" s="11" t="s">
        <v>36</v>
      </c>
      <c r="AS288" s="11" t="s">
        <v>55</v>
      </c>
      <c r="AT288" s="11" t="s">
        <v>33</v>
      </c>
      <c r="AU288" s="11" t="s">
        <v>46</v>
      </c>
      <c r="AV288" s="11" t="s">
        <v>50</v>
      </c>
      <c r="AW288" s="11" t="s">
        <v>60</v>
      </c>
    </row>
    <row r="289" spans="41:49" x14ac:dyDescent="0.25">
      <c r="AO289" s="11" t="s">
        <v>446</v>
      </c>
      <c r="AP289" s="11" t="s">
        <v>28</v>
      </c>
      <c r="AQ289" s="11" t="s">
        <v>31</v>
      </c>
      <c r="AR289" s="11" t="s">
        <v>32</v>
      </c>
      <c r="AS289" s="11" t="s">
        <v>55</v>
      </c>
      <c r="AT289" s="11" t="s">
        <v>33</v>
      </c>
      <c r="AU289" s="11" t="s">
        <v>46</v>
      </c>
      <c r="AV289" s="11" t="s">
        <v>35</v>
      </c>
      <c r="AW289" s="11" t="s">
        <v>50</v>
      </c>
    </row>
    <row r="290" spans="41:49" x14ac:dyDescent="0.25">
      <c r="AO290" s="11" t="s">
        <v>447</v>
      </c>
      <c r="AP290" s="11" t="s">
        <v>28</v>
      </c>
      <c r="AQ290" s="11" t="s">
        <v>31</v>
      </c>
      <c r="AR290" s="11" t="s">
        <v>32</v>
      </c>
      <c r="AS290" s="11" t="s">
        <v>33</v>
      </c>
      <c r="AT290" s="11" t="s">
        <v>46</v>
      </c>
      <c r="AU290" s="11" t="s">
        <v>35</v>
      </c>
      <c r="AV290" s="11" t="s">
        <v>50</v>
      </c>
      <c r="AW290" s="11" t="s">
        <v>60</v>
      </c>
    </row>
    <row r="291" spans="41:49" x14ac:dyDescent="0.25">
      <c r="AO291" s="11" t="s">
        <v>448</v>
      </c>
      <c r="AP291" s="11" t="s">
        <v>28</v>
      </c>
      <c r="AQ291" s="11" t="s">
        <v>31</v>
      </c>
      <c r="AR291" s="11" t="s">
        <v>32</v>
      </c>
      <c r="AS291" s="11" t="s">
        <v>55</v>
      </c>
      <c r="AT291" s="11" t="s">
        <v>33</v>
      </c>
      <c r="AU291" s="11" t="s">
        <v>46</v>
      </c>
      <c r="AV291" s="11" t="s">
        <v>35</v>
      </c>
      <c r="AW291" s="11" t="s">
        <v>60</v>
      </c>
    </row>
    <row r="292" spans="41:49" x14ac:dyDescent="0.25">
      <c r="AO292" s="11" t="s">
        <v>449</v>
      </c>
      <c r="AP292" s="11" t="s">
        <v>28</v>
      </c>
      <c r="AQ292" s="11" t="s">
        <v>31</v>
      </c>
      <c r="AR292" s="11" t="s">
        <v>32</v>
      </c>
      <c r="AS292" s="11" t="s">
        <v>55</v>
      </c>
      <c r="AT292" s="11" t="s">
        <v>33</v>
      </c>
      <c r="AU292" s="11" t="s">
        <v>35</v>
      </c>
      <c r="AV292" s="11" t="s">
        <v>50</v>
      </c>
      <c r="AW292" s="11" t="s">
        <v>60</v>
      </c>
    </row>
    <row r="293" spans="41:49" x14ac:dyDescent="0.25">
      <c r="AO293" s="11" t="s">
        <v>450</v>
      </c>
      <c r="AP293" s="11" t="s">
        <v>28</v>
      </c>
      <c r="AQ293" s="11" t="s">
        <v>31</v>
      </c>
      <c r="AR293" s="11" t="s">
        <v>32</v>
      </c>
      <c r="AS293" s="11" t="s">
        <v>55</v>
      </c>
      <c r="AT293" s="11" t="s">
        <v>46</v>
      </c>
      <c r="AU293" s="11" t="s">
        <v>35</v>
      </c>
      <c r="AV293" s="11" t="s">
        <v>50</v>
      </c>
      <c r="AW293" s="11" t="s">
        <v>60</v>
      </c>
    </row>
    <row r="294" spans="41:49" x14ac:dyDescent="0.25">
      <c r="AO294" s="11" t="s">
        <v>451</v>
      </c>
      <c r="AP294" s="11" t="s">
        <v>28</v>
      </c>
      <c r="AQ294" s="11" t="s">
        <v>32</v>
      </c>
      <c r="AR294" s="11" t="s">
        <v>35</v>
      </c>
      <c r="AS294" s="11" t="s">
        <v>55</v>
      </c>
      <c r="AT294" s="11" t="s">
        <v>33</v>
      </c>
      <c r="AU294" s="11" t="s">
        <v>46</v>
      </c>
      <c r="AV294" s="11" t="s">
        <v>50</v>
      </c>
      <c r="AW294" s="11" t="s">
        <v>60</v>
      </c>
    </row>
    <row r="295" spans="41:49" x14ac:dyDescent="0.25">
      <c r="AO295" s="11" t="s">
        <v>452</v>
      </c>
      <c r="AP295" s="11" t="s">
        <v>28</v>
      </c>
      <c r="AQ295" s="11" t="s">
        <v>31</v>
      </c>
      <c r="AR295" s="11" t="s">
        <v>32</v>
      </c>
      <c r="AS295" s="11" t="s">
        <v>55</v>
      </c>
      <c r="AT295" s="11" t="s">
        <v>33</v>
      </c>
      <c r="AU295" s="11" t="s">
        <v>46</v>
      </c>
      <c r="AV295" s="11" t="s">
        <v>50</v>
      </c>
      <c r="AW295" s="11" t="s">
        <v>60</v>
      </c>
    </row>
    <row r="296" spans="41:49" x14ac:dyDescent="0.25">
      <c r="AO296" s="11" t="s">
        <v>453</v>
      </c>
      <c r="AP296" s="11" t="s">
        <v>30</v>
      </c>
      <c r="AQ296" s="11" t="s">
        <v>31</v>
      </c>
      <c r="AR296" s="11" t="s">
        <v>36</v>
      </c>
      <c r="AS296" s="11" t="s">
        <v>33</v>
      </c>
      <c r="AT296" s="11" t="s">
        <v>28</v>
      </c>
      <c r="AU296" s="11" t="s">
        <v>46</v>
      </c>
      <c r="AV296" s="11" t="s">
        <v>35</v>
      </c>
      <c r="AW296" s="11" t="s">
        <v>50</v>
      </c>
    </row>
    <row r="297" spans="41:49" x14ac:dyDescent="0.25">
      <c r="AO297" s="11" t="s">
        <v>454</v>
      </c>
      <c r="AP297" s="11" t="s">
        <v>30</v>
      </c>
      <c r="AQ297" s="11" t="s">
        <v>31</v>
      </c>
      <c r="AR297" s="11" t="s">
        <v>33</v>
      </c>
      <c r="AS297" s="11" t="s">
        <v>55</v>
      </c>
      <c r="AT297" s="11" t="s">
        <v>28</v>
      </c>
      <c r="AU297" s="11" t="s">
        <v>46</v>
      </c>
      <c r="AV297" s="11" t="s">
        <v>35</v>
      </c>
      <c r="AW297" s="11" t="s">
        <v>36</v>
      </c>
    </row>
    <row r="298" spans="41:49" x14ac:dyDescent="0.25">
      <c r="AO298" s="11" t="s">
        <v>455</v>
      </c>
      <c r="AP298" s="11" t="s">
        <v>30</v>
      </c>
      <c r="AQ298" s="11" t="s">
        <v>31</v>
      </c>
      <c r="AR298" s="11" t="s">
        <v>36</v>
      </c>
      <c r="AS298" s="11" t="s">
        <v>33</v>
      </c>
      <c r="AT298" s="11" t="s">
        <v>28</v>
      </c>
      <c r="AU298" s="11" t="s">
        <v>46</v>
      </c>
      <c r="AV298" s="11" t="s">
        <v>35</v>
      </c>
      <c r="AW298" s="11" t="s">
        <v>60</v>
      </c>
    </row>
    <row r="299" spans="41:49" x14ac:dyDescent="0.25">
      <c r="AO299" s="11" t="s">
        <v>456</v>
      </c>
      <c r="AP299" s="11" t="s">
        <v>30</v>
      </c>
      <c r="AQ299" s="11" t="s">
        <v>31</v>
      </c>
      <c r="AR299" s="11" t="s">
        <v>33</v>
      </c>
      <c r="AS299" s="11" t="s">
        <v>55</v>
      </c>
      <c r="AT299" s="11" t="s">
        <v>28</v>
      </c>
      <c r="AU299" s="11" t="s">
        <v>36</v>
      </c>
      <c r="AV299" s="11" t="s">
        <v>35</v>
      </c>
      <c r="AW299" s="11" t="s">
        <v>50</v>
      </c>
    </row>
    <row r="300" spans="41:49" x14ac:dyDescent="0.25">
      <c r="AO300" s="11" t="s">
        <v>457</v>
      </c>
      <c r="AP300" s="11" t="s">
        <v>30</v>
      </c>
      <c r="AQ300" s="11" t="s">
        <v>31</v>
      </c>
      <c r="AR300" s="11" t="s">
        <v>36</v>
      </c>
      <c r="AS300" s="11" t="s">
        <v>33</v>
      </c>
      <c r="AT300" s="11" t="s">
        <v>28</v>
      </c>
      <c r="AU300" s="11" t="s">
        <v>35</v>
      </c>
      <c r="AV300" s="11" t="s">
        <v>50</v>
      </c>
      <c r="AW300" s="11" t="s">
        <v>60</v>
      </c>
    </row>
    <row r="301" spans="41:49" x14ac:dyDescent="0.25">
      <c r="AO301" s="11" t="s">
        <v>458</v>
      </c>
      <c r="AP301" s="11" t="s">
        <v>30</v>
      </c>
      <c r="AQ301" s="11" t="s">
        <v>31</v>
      </c>
      <c r="AR301" s="11" t="s">
        <v>33</v>
      </c>
      <c r="AS301" s="11" t="s">
        <v>55</v>
      </c>
      <c r="AT301" s="11" t="s">
        <v>28</v>
      </c>
      <c r="AU301" s="11" t="s">
        <v>36</v>
      </c>
      <c r="AV301" s="11" t="s">
        <v>35</v>
      </c>
      <c r="AW301" s="11" t="s">
        <v>60</v>
      </c>
    </row>
    <row r="302" spans="41:49" x14ac:dyDescent="0.25">
      <c r="AO302" s="11" t="s">
        <v>459</v>
      </c>
      <c r="AP302" s="11" t="s">
        <v>30</v>
      </c>
      <c r="AQ302" s="11" t="s">
        <v>31</v>
      </c>
      <c r="AR302" s="11" t="s">
        <v>36</v>
      </c>
      <c r="AS302" s="11" t="s">
        <v>55</v>
      </c>
      <c r="AT302" s="11" t="s">
        <v>28</v>
      </c>
      <c r="AU302" s="11" t="s">
        <v>46</v>
      </c>
      <c r="AV302" s="11" t="s">
        <v>35</v>
      </c>
      <c r="AW302" s="11" t="s">
        <v>50</v>
      </c>
    </row>
    <row r="303" spans="41:49" x14ac:dyDescent="0.25">
      <c r="AO303" s="11" t="s">
        <v>460</v>
      </c>
      <c r="AP303" s="11" t="s">
        <v>30</v>
      </c>
      <c r="AQ303" s="11" t="s">
        <v>31</v>
      </c>
      <c r="AR303" s="11" t="s">
        <v>36</v>
      </c>
      <c r="AS303" s="11" t="s">
        <v>46</v>
      </c>
      <c r="AT303" s="11" t="s">
        <v>28</v>
      </c>
      <c r="AU303" s="11" t="s">
        <v>35</v>
      </c>
      <c r="AV303" s="11" t="s">
        <v>50</v>
      </c>
      <c r="AW303" s="11" t="s">
        <v>60</v>
      </c>
    </row>
    <row r="304" spans="41:49" x14ac:dyDescent="0.25">
      <c r="AO304" s="11" t="s">
        <v>461</v>
      </c>
      <c r="AP304" s="11" t="s">
        <v>30</v>
      </c>
      <c r="AQ304" s="11" t="s">
        <v>31</v>
      </c>
      <c r="AR304" s="11" t="s">
        <v>36</v>
      </c>
      <c r="AS304" s="11" t="s">
        <v>55</v>
      </c>
      <c r="AT304" s="11" t="s">
        <v>28</v>
      </c>
      <c r="AU304" s="11" t="s">
        <v>46</v>
      </c>
      <c r="AV304" s="11" t="s">
        <v>35</v>
      </c>
      <c r="AW304" s="11" t="s">
        <v>60</v>
      </c>
    </row>
    <row r="305" spans="41:49" x14ac:dyDescent="0.25">
      <c r="AO305" s="11" t="s">
        <v>462</v>
      </c>
      <c r="AP305" s="11" t="s">
        <v>30</v>
      </c>
      <c r="AQ305" s="11" t="s">
        <v>31</v>
      </c>
      <c r="AR305" s="11" t="s">
        <v>36</v>
      </c>
      <c r="AS305" s="11" t="s">
        <v>55</v>
      </c>
      <c r="AT305" s="11" t="s">
        <v>28</v>
      </c>
      <c r="AU305" s="11" t="s">
        <v>35</v>
      </c>
      <c r="AV305" s="11" t="s">
        <v>50</v>
      </c>
      <c r="AW305" s="11" t="s">
        <v>60</v>
      </c>
    </row>
    <row r="306" spans="41:49" x14ac:dyDescent="0.25">
      <c r="AO306" s="11" t="s">
        <v>463</v>
      </c>
      <c r="AP306" s="11" t="s">
        <v>30</v>
      </c>
      <c r="AQ306" s="11" t="s">
        <v>35</v>
      </c>
      <c r="AR306" s="11" t="s">
        <v>33</v>
      </c>
      <c r="AS306" s="11" t="s">
        <v>55</v>
      </c>
      <c r="AT306" s="11" t="s">
        <v>28</v>
      </c>
      <c r="AU306" s="11" t="s">
        <v>46</v>
      </c>
      <c r="AV306" s="11" t="s">
        <v>50</v>
      </c>
      <c r="AW306" s="11" t="s">
        <v>36</v>
      </c>
    </row>
    <row r="307" spans="41:49" x14ac:dyDescent="0.25">
      <c r="AO307" s="11" t="s">
        <v>464</v>
      </c>
      <c r="AP307" s="11" t="s">
        <v>30</v>
      </c>
      <c r="AQ307" s="11" t="s">
        <v>35</v>
      </c>
      <c r="AR307" s="11" t="s">
        <v>36</v>
      </c>
      <c r="AS307" s="11" t="s">
        <v>33</v>
      </c>
      <c r="AT307" s="11" t="s">
        <v>28</v>
      </c>
      <c r="AU307" s="11" t="s">
        <v>46</v>
      </c>
      <c r="AV307" s="11" t="s">
        <v>50</v>
      </c>
      <c r="AW307" s="11" t="s">
        <v>60</v>
      </c>
    </row>
    <row r="308" spans="41:49" x14ac:dyDescent="0.25">
      <c r="AO308" s="11" t="s">
        <v>465</v>
      </c>
      <c r="AP308" s="11" t="s">
        <v>30</v>
      </c>
      <c r="AQ308" s="11" t="s">
        <v>35</v>
      </c>
      <c r="AR308" s="11" t="s">
        <v>33</v>
      </c>
      <c r="AS308" s="11" t="s">
        <v>55</v>
      </c>
      <c r="AT308" s="11" t="s">
        <v>28</v>
      </c>
      <c r="AU308" s="11" t="s">
        <v>46</v>
      </c>
      <c r="AV308" s="11" t="s">
        <v>36</v>
      </c>
      <c r="AW308" s="11" t="s">
        <v>60</v>
      </c>
    </row>
    <row r="309" spans="41:49" x14ac:dyDescent="0.25">
      <c r="AO309" s="11" t="s">
        <v>466</v>
      </c>
      <c r="AP309" s="11" t="s">
        <v>30</v>
      </c>
      <c r="AQ309" s="11" t="s">
        <v>35</v>
      </c>
      <c r="AR309" s="11" t="s">
        <v>33</v>
      </c>
      <c r="AS309" s="11" t="s">
        <v>55</v>
      </c>
      <c r="AT309" s="11" t="s">
        <v>28</v>
      </c>
      <c r="AU309" s="11" t="s">
        <v>36</v>
      </c>
      <c r="AV309" s="11" t="s">
        <v>50</v>
      </c>
      <c r="AW309" s="11" t="s">
        <v>60</v>
      </c>
    </row>
    <row r="310" spans="41:49" x14ac:dyDescent="0.25">
      <c r="AO310" s="11" t="s">
        <v>467</v>
      </c>
      <c r="AP310" s="11" t="s">
        <v>30</v>
      </c>
      <c r="AQ310" s="11" t="s">
        <v>35</v>
      </c>
      <c r="AR310" s="11" t="s">
        <v>36</v>
      </c>
      <c r="AS310" s="11" t="s">
        <v>55</v>
      </c>
      <c r="AT310" s="11" t="s">
        <v>28</v>
      </c>
      <c r="AU310" s="11" t="s">
        <v>46</v>
      </c>
      <c r="AV310" s="11" t="s">
        <v>50</v>
      </c>
      <c r="AW310" s="11" t="s">
        <v>60</v>
      </c>
    </row>
    <row r="311" spans="41:49" x14ac:dyDescent="0.25">
      <c r="AO311" s="11" t="s">
        <v>468</v>
      </c>
      <c r="AP311" s="11" t="s">
        <v>30</v>
      </c>
      <c r="AQ311" s="11" t="s">
        <v>31</v>
      </c>
      <c r="AR311" s="11" t="s">
        <v>33</v>
      </c>
      <c r="AS311" s="11" t="s">
        <v>55</v>
      </c>
      <c r="AT311" s="11" t="s">
        <v>28</v>
      </c>
      <c r="AU311" s="11" t="s">
        <v>46</v>
      </c>
      <c r="AV311" s="11" t="s">
        <v>50</v>
      </c>
      <c r="AW311" s="11" t="s">
        <v>36</v>
      </c>
    </row>
    <row r="312" spans="41:49" x14ac:dyDescent="0.25">
      <c r="AO312" s="11" t="s">
        <v>469</v>
      </c>
      <c r="AP312" s="11" t="s">
        <v>30</v>
      </c>
      <c r="AQ312" s="11" t="s">
        <v>31</v>
      </c>
      <c r="AR312" s="11" t="s">
        <v>36</v>
      </c>
      <c r="AS312" s="11" t="s">
        <v>33</v>
      </c>
      <c r="AT312" s="11" t="s">
        <v>28</v>
      </c>
      <c r="AU312" s="11" t="s">
        <v>46</v>
      </c>
      <c r="AV312" s="11" t="s">
        <v>50</v>
      </c>
      <c r="AW312" s="11" t="s">
        <v>60</v>
      </c>
    </row>
    <row r="313" spans="41:49" x14ac:dyDescent="0.25">
      <c r="AO313" s="11" t="s">
        <v>470</v>
      </c>
      <c r="AP313" s="11" t="s">
        <v>30</v>
      </c>
      <c r="AQ313" s="11" t="s">
        <v>31</v>
      </c>
      <c r="AR313" s="11" t="s">
        <v>33</v>
      </c>
      <c r="AS313" s="11" t="s">
        <v>55</v>
      </c>
      <c r="AT313" s="11" t="s">
        <v>28</v>
      </c>
      <c r="AU313" s="11" t="s">
        <v>46</v>
      </c>
      <c r="AV313" s="11" t="s">
        <v>36</v>
      </c>
      <c r="AW313" s="11" t="s">
        <v>60</v>
      </c>
    </row>
    <row r="314" spans="41:49" x14ac:dyDescent="0.25">
      <c r="AO314" s="11" t="s">
        <v>471</v>
      </c>
      <c r="AP314" s="11" t="s">
        <v>30</v>
      </c>
      <c r="AQ314" s="11" t="s">
        <v>31</v>
      </c>
      <c r="AR314" s="11" t="s">
        <v>33</v>
      </c>
      <c r="AS314" s="11" t="s">
        <v>55</v>
      </c>
      <c r="AT314" s="11" t="s">
        <v>28</v>
      </c>
      <c r="AU314" s="11" t="s">
        <v>36</v>
      </c>
      <c r="AV314" s="11" t="s">
        <v>50</v>
      </c>
      <c r="AW314" s="11" t="s">
        <v>60</v>
      </c>
    </row>
    <row r="315" spans="41:49" x14ac:dyDescent="0.25">
      <c r="AO315" s="11" t="s">
        <v>472</v>
      </c>
      <c r="AP315" s="11" t="s">
        <v>30</v>
      </c>
      <c r="AQ315" s="11" t="s">
        <v>31</v>
      </c>
      <c r="AR315" s="11" t="s">
        <v>36</v>
      </c>
      <c r="AS315" s="11" t="s">
        <v>55</v>
      </c>
      <c r="AT315" s="11" t="s">
        <v>28</v>
      </c>
      <c r="AU315" s="11" t="s">
        <v>46</v>
      </c>
      <c r="AV315" s="11" t="s">
        <v>50</v>
      </c>
      <c r="AW315" s="11" t="s">
        <v>60</v>
      </c>
    </row>
    <row r="316" spans="41:49" x14ac:dyDescent="0.25">
      <c r="AO316" s="11" t="s">
        <v>473</v>
      </c>
      <c r="AP316" s="11" t="s">
        <v>30</v>
      </c>
      <c r="AQ316" s="11" t="s">
        <v>33</v>
      </c>
      <c r="AR316" s="11" t="s">
        <v>36</v>
      </c>
      <c r="AS316" s="11" t="s">
        <v>55</v>
      </c>
      <c r="AT316" s="11" t="s">
        <v>28</v>
      </c>
      <c r="AU316" s="11" t="s">
        <v>46</v>
      </c>
      <c r="AV316" s="11" t="s">
        <v>50</v>
      </c>
      <c r="AW316" s="11" t="s">
        <v>60</v>
      </c>
    </row>
    <row r="317" spans="41:49" x14ac:dyDescent="0.25">
      <c r="AO317" s="11" t="s">
        <v>474</v>
      </c>
      <c r="AP317" s="11" t="s">
        <v>30</v>
      </c>
      <c r="AQ317" s="11" t="s">
        <v>31</v>
      </c>
      <c r="AR317" s="11" t="s">
        <v>33</v>
      </c>
      <c r="AS317" s="11" t="s">
        <v>55</v>
      </c>
      <c r="AT317" s="11" t="s">
        <v>28</v>
      </c>
      <c r="AU317" s="11" t="s">
        <v>46</v>
      </c>
      <c r="AV317" s="11" t="s">
        <v>35</v>
      </c>
      <c r="AW317" s="11" t="s">
        <v>50</v>
      </c>
    </row>
    <row r="318" spans="41:49" x14ac:dyDescent="0.25">
      <c r="AO318" s="11" t="s">
        <v>475</v>
      </c>
      <c r="AP318" s="11" t="s">
        <v>30</v>
      </c>
      <c r="AQ318" s="11" t="s">
        <v>31</v>
      </c>
      <c r="AR318" s="11" t="s">
        <v>35</v>
      </c>
      <c r="AS318" s="11" t="s">
        <v>33</v>
      </c>
      <c r="AT318" s="11" t="s">
        <v>28</v>
      </c>
      <c r="AU318" s="11" t="s">
        <v>46</v>
      </c>
      <c r="AV318" s="11" t="s">
        <v>50</v>
      </c>
      <c r="AW318" s="11" t="s">
        <v>60</v>
      </c>
    </row>
    <row r="319" spans="41:49" x14ac:dyDescent="0.25">
      <c r="AO319" s="11" t="s">
        <v>476</v>
      </c>
      <c r="AP319" s="11" t="s">
        <v>30</v>
      </c>
      <c r="AQ319" s="11" t="s">
        <v>31</v>
      </c>
      <c r="AR319" s="11" t="s">
        <v>33</v>
      </c>
      <c r="AS319" s="11" t="s">
        <v>55</v>
      </c>
      <c r="AT319" s="11" t="s">
        <v>28</v>
      </c>
      <c r="AU319" s="11" t="s">
        <v>46</v>
      </c>
      <c r="AV319" s="11" t="s">
        <v>35</v>
      </c>
      <c r="AW319" s="11" t="s">
        <v>60</v>
      </c>
    </row>
    <row r="320" spans="41:49" x14ac:dyDescent="0.25">
      <c r="AO320" s="11" t="s">
        <v>477</v>
      </c>
      <c r="AP320" s="11" t="s">
        <v>30</v>
      </c>
      <c r="AQ320" s="11" t="s">
        <v>31</v>
      </c>
      <c r="AR320" s="11" t="s">
        <v>33</v>
      </c>
      <c r="AS320" s="11" t="s">
        <v>55</v>
      </c>
      <c r="AT320" s="11" t="s">
        <v>28</v>
      </c>
      <c r="AU320" s="11" t="s">
        <v>35</v>
      </c>
      <c r="AV320" s="11" t="s">
        <v>50</v>
      </c>
      <c r="AW320" s="11" t="s">
        <v>60</v>
      </c>
    </row>
    <row r="321" spans="41:49" x14ac:dyDescent="0.25">
      <c r="AO321" s="11" t="s">
        <v>478</v>
      </c>
      <c r="AP321" s="11" t="s">
        <v>30</v>
      </c>
      <c r="AQ321" s="11" t="s">
        <v>31</v>
      </c>
      <c r="AR321" s="11" t="s">
        <v>35</v>
      </c>
      <c r="AS321" s="11" t="s">
        <v>55</v>
      </c>
      <c r="AT321" s="11" t="s">
        <v>28</v>
      </c>
      <c r="AU321" s="11" t="s">
        <v>46</v>
      </c>
      <c r="AV321" s="11" t="s">
        <v>50</v>
      </c>
      <c r="AW321" s="11" t="s">
        <v>60</v>
      </c>
    </row>
    <row r="322" spans="41:49" x14ac:dyDescent="0.25">
      <c r="AO322" s="11" t="s">
        <v>479</v>
      </c>
      <c r="AP322" s="11" t="s">
        <v>30</v>
      </c>
      <c r="AQ322" s="11" t="s">
        <v>35</v>
      </c>
      <c r="AR322" s="11" t="s">
        <v>33</v>
      </c>
      <c r="AS322" s="11" t="s">
        <v>55</v>
      </c>
      <c r="AT322" s="11" t="s">
        <v>28</v>
      </c>
      <c r="AU322" s="11" t="s">
        <v>46</v>
      </c>
      <c r="AV322" s="11" t="s">
        <v>50</v>
      </c>
      <c r="AW322" s="11" t="s">
        <v>60</v>
      </c>
    </row>
    <row r="323" spans="41:49" x14ac:dyDescent="0.25">
      <c r="AO323" s="11" t="s">
        <v>480</v>
      </c>
      <c r="AP323" s="11" t="s">
        <v>30</v>
      </c>
      <c r="AQ323" s="11" t="s">
        <v>31</v>
      </c>
      <c r="AR323" s="11" t="s">
        <v>33</v>
      </c>
      <c r="AS323" s="11" t="s">
        <v>55</v>
      </c>
      <c r="AT323" s="11" t="s">
        <v>28</v>
      </c>
      <c r="AU323" s="11" t="s">
        <v>46</v>
      </c>
      <c r="AV323" s="11" t="s">
        <v>50</v>
      </c>
      <c r="AW323" s="11" t="s">
        <v>60</v>
      </c>
    </row>
    <row r="324" spans="41:49" x14ac:dyDescent="0.25">
      <c r="AO324" s="11" t="s">
        <v>481</v>
      </c>
      <c r="AP324" s="11" t="s">
        <v>28</v>
      </c>
      <c r="AQ324" s="11" t="s">
        <v>31</v>
      </c>
      <c r="AR324" s="11" t="s">
        <v>36</v>
      </c>
      <c r="AS324" s="11" t="s">
        <v>55</v>
      </c>
      <c r="AT324" s="11" t="s">
        <v>33</v>
      </c>
      <c r="AU324" s="11" t="s">
        <v>46</v>
      </c>
      <c r="AV324" s="11" t="s">
        <v>35</v>
      </c>
      <c r="AW324" s="11" t="s">
        <v>50</v>
      </c>
    </row>
    <row r="325" spans="41:49" x14ac:dyDescent="0.25">
      <c r="AO325" s="11" t="s">
        <v>482</v>
      </c>
      <c r="AP325" s="11" t="s">
        <v>28</v>
      </c>
      <c r="AQ325" s="11" t="s">
        <v>31</v>
      </c>
      <c r="AR325" s="11" t="s">
        <v>36</v>
      </c>
      <c r="AS325" s="11" t="s">
        <v>33</v>
      </c>
      <c r="AT325" s="11" t="s">
        <v>46</v>
      </c>
      <c r="AU325" s="11" t="s">
        <v>35</v>
      </c>
      <c r="AV325" s="11" t="s">
        <v>50</v>
      </c>
      <c r="AW325" s="11" t="s">
        <v>60</v>
      </c>
    </row>
    <row r="326" spans="41:49" x14ac:dyDescent="0.25">
      <c r="AO326" s="11" t="s">
        <v>483</v>
      </c>
      <c r="AP326" s="11" t="s">
        <v>28</v>
      </c>
      <c r="AQ326" s="11" t="s">
        <v>31</v>
      </c>
      <c r="AR326" s="11" t="s">
        <v>36</v>
      </c>
      <c r="AS326" s="11" t="s">
        <v>55</v>
      </c>
      <c r="AT326" s="11" t="s">
        <v>33</v>
      </c>
      <c r="AU326" s="11" t="s">
        <v>46</v>
      </c>
      <c r="AV326" s="11" t="s">
        <v>35</v>
      </c>
      <c r="AW326" s="11" t="s">
        <v>60</v>
      </c>
    </row>
    <row r="327" spans="41:49" x14ac:dyDescent="0.25">
      <c r="AO327" s="11" t="s">
        <v>484</v>
      </c>
      <c r="AP327" s="11" t="s">
        <v>28</v>
      </c>
      <c r="AQ327" s="11" t="s">
        <v>31</v>
      </c>
      <c r="AR327" s="11" t="s">
        <v>36</v>
      </c>
      <c r="AS327" s="11" t="s">
        <v>55</v>
      </c>
      <c r="AT327" s="11" t="s">
        <v>33</v>
      </c>
      <c r="AU327" s="11" t="s">
        <v>35</v>
      </c>
      <c r="AV327" s="11" t="s">
        <v>50</v>
      </c>
      <c r="AW327" s="11" t="s">
        <v>60</v>
      </c>
    </row>
    <row r="328" spans="41:49" x14ac:dyDescent="0.25">
      <c r="AO328" s="11" t="s">
        <v>485</v>
      </c>
      <c r="AP328" s="11" t="s">
        <v>28</v>
      </c>
      <c r="AQ328" s="11" t="s">
        <v>31</v>
      </c>
      <c r="AR328" s="11" t="s">
        <v>36</v>
      </c>
      <c r="AS328" s="11" t="s">
        <v>55</v>
      </c>
      <c r="AT328" s="11" t="s">
        <v>46</v>
      </c>
      <c r="AU328" s="11" t="s">
        <v>35</v>
      </c>
      <c r="AV328" s="11" t="s">
        <v>50</v>
      </c>
      <c r="AW328" s="11" t="s">
        <v>60</v>
      </c>
    </row>
    <row r="329" spans="41:49" x14ac:dyDescent="0.25">
      <c r="AO329" s="11" t="s">
        <v>486</v>
      </c>
      <c r="AP329" s="11" t="s">
        <v>28</v>
      </c>
      <c r="AQ329" s="11" t="s">
        <v>35</v>
      </c>
      <c r="AR329" s="11" t="s">
        <v>36</v>
      </c>
      <c r="AS329" s="11" t="s">
        <v>55</v>
      </c>
      <c r="AT329" s="11" t="s">
        <v>33</v>
      </c>
      <c r="AU329" s="11" t="s">
        <v>46</v>
      </c>
      <c r="AV329" s="11" t="s">
        <v>50</v>
      </c>
      <c r="AW329" s="11" t="s">
        <v>60</v>
      </c>
    </row>
    <row r="330" spans="41:49" x14ac:dyDescent="0.25">
      <c r="AO330" s="11" t="s">
        <v>487</v>
      </c>
      <c r="AP330" s="11" t="s">
        <v>28</v>
      </c>
      <c r="AQ330" s="11" t="s">
        <v>31</v>
      </c>
      <c r="AR330" s="11" t="s">
        <v>36</v>
      </c>
      <c r="AS330" s="11" t="s">
        <v>55</v>
      </c>
      <c r="AT330" s="11" t="s">
        <v>33</v>
      </c>
      <c r="AU330" s="11" t="s">
        <v>46</v>
      </c>
      <c r="AV330" s="11" t="s">
        <v>50</v>
      </c>
      <c r="AW330" s="11" t="s">
        <v>60</v>
      </c>
    </row>
    <row r="331" spans="41:49" x14ac:dyDescent="0.25">
      <c r="AO331" s="11" t="s">
        <v>488</v>
      </c>
      <c r="AP331" s="11" t="s">
        <v>28</v>
      </c>
      <c r="AQ331" s="11" t="s">
        <v>31</v>
      </c>
      <c r="AR331" s="11" t="s">
        <v>35</v>
      </c>
      <c r="AS331" s="11" t="s">
        <v>55</v>
      </c>
      <c r="AT331" s="11" t="s">
        <v>33</v>
      </c>
      <c r="AU331" s="11" t="s">
        <v>46</v>
      </c>
      <c r="AV331" s="11" t="s">
        <v>50</v>
      </c>
      <c r="AW331" s="11" t="s">
        <v>60</v>
      </c>
    </row>
    <row r="332" spans="41:49" x14ac:dyDescent="0.25">
      <c r="AO332" s="11" t="s">
        <v>489</v>
      </c>
      <c r="AP332" s="11" t="s">
        <v>30</v>
      </c>
      <c r="AQ332" s="11" t="s">
        <v>31</v>
      </c>
      <c r="AR332" s="11" t="s">
        <v>32</v>
      </c>
      <c r="AS332" s="11" t="s">
        <v>36</v>
      </c>
      <c r="AT332" s="11" t="s">
        <v>33</v>
      </c>
      <c r="AU332" s="11" t="s">
        <v>34</v>
      </c>
      <c r="AV332" s="11" t="s">
        <v>35</v>
      </c>
      <c r="AW332" s="11" t="s">
        <v>46</v>
      </c>
    </row>
    <row r="333" spans="41:49" x14ac:dyDescent="0.25">
      <c r="AO333" s="11" t="s">
        <v>490</v>
      </c>
      <c r="AP333" s="11" t="s">
        <v>30</v>
      </c>
      <c r="AQ333" s="11" t="s">
        <v>31</v>
      </c>
      <c r="AR333" s="11" t="s">
        <v>32</v>
      </c>
      <c r="AS333" s="11" t="s">
        <v>36</v>
      </c>
      <c r="AT333" s="11" t="s">
        <v>33</v>
      </c>
      <c r="AU333" s="11" t="s">
        <v>34</v>
      </c>
      <c r="AV333" s="11" t="s">
        <v>35</v>
      </c>
      <c r="AW333" s="11" t="s">
        <v>50</v>
      </c>
    </row>
    <row r="334" spans="41:49" x14ac:dyDescent="0.25">
      <c r="AO334" s="11" t="s">
        <v>491</v>
      </c>
      <c r="AP334" s="11" t="s">
        <v>30</v>
      </c>
      <c r="AQ334" s="11" t="s">
        <v>31</v>
      </c>
      <c r="AR334" s="11" t="s">
        <v>32</v>
      </c>
      <c r="AS334" s="11" t="s">
        <v>55</v>
      </c>
      <c r="AT334" s="11" t="s">
        <v>33</v>
      </c>
      <c r="AU334" s="11" t="s">
        <v>34</v>
      </c>
      <c r="AV334" s="11" t="s">
        <v>35</v>
      </c>
      <c r="AW334" s="11" t="s">
        <v>36</v>
      </c>
    </row>
    <row r="335" spans="41:49" x14ac:dyDescent="0.25">
      <c r="AO335" s="11" t="s">
        <v>492</v>
      </c>
      <c r="AP335" s="11" t="s">
        <v>30</v>
      </c>
      <c r="AQ335" s="11" t="s">
        <v>31</v>
      </c>
      <c r="AR335" s="11" t="s">
        <v>32</v>
      </c>
      <c r="AS335" s="11" t="s">
        <v>36</v>
      </c>
      <c r="AT335" s="11" t="s">
        <v>33</v>
      </c>
      <c r="AU335" s="11" t="s">
        <v>34</v>
      </c>
      <c r="AV335" s="11" t="s">
        <v>35</v>
      </c>
      <c r="AW335" s="11" t="s">
        <v>60</v>
      </c>
    </row>
    <row r="336" spans="41:49" x14ac:dyDescent="0.25">
      <c r="AO336" s="11" t="s">
        <v>493</v>
      </c>
      <c r="AP336" s="11" t="s">
        <v>30</v>
      </c>
      <c r="AQ336" s="11" t="s">
        <v>31</v>
      </c>
      <c r="AR336" s="11" t="s">
        <v>32</v>
      </c>
      <c r="AS336" s="11" t="s">
        <v>36</v>
      </c>
      <c r="AT336" s="11" t="s">
        <v>46</v>
      </c>
      <c r="AU336" s="11" t="s">
        <v>34</v>
      </c>
      <c r="AV336" s="11" t="s">
        <v>35</v>
      </c>
      <c r="AW336" s="11" t="s">
        <v>50</v>
      </c>
    </row>
    <row r="337" spans="41:49" x14ac:dyDescent="0.25">
      <c r="AO337" s="11" t="s">
        <v>494</v>
      </c>
      <c r="AP337" s="11" t="s">
        <v>30</v>
      </c>
      <c r="AQ337" s="11" t="s">
        <v>31</v>
      </c>
      <c r="AR337" s="11" t="s">
        <v>32</v>
      </c>
      <c r="AS337" s="11" t="s">
        <v>55</v>
      </c>
      <c r="AT337" s="11" t="s">
        <v>36</v>
      </c>
      <c r="AU337" s="11" t="s">
        <v>34</v>
      </c>
      <c r="AV337" s="11" t="s">
        <v>35</v>
      </c>
      <c r="AW337" s="11" t="s">
        <v>46</v>
      </c>
    </row>
    <row r="338" spans="41:49" x14ac:dyDescent="0.25">
      <c r="AO338" s="11" t="s">
        <v>495</v>
      </c>
      <c r="AP338" s="11" t="s">
        <v>30</v>
      </c>
      <c r="AQ338" s="11" t="s">
        <v>31</v>
      </c>
      <c r="AR338" s="11" t="s">
        <v>32</v>
      </c>
      <c r="AS338" s="11" t="s">
        <v>36</v>
      </c>
      <c r="AT338" s="11" t="s">
        <v>46</v>
      </c>
      <c r="AU338" s="11" t="s">
        <v>34</v>
      </c>
      <c r="AV338" s="11" t="s">
        <v>35</v>
      </c>
      <c r="AW338" s="11" t="s">
        <v>60</v>
      </c>
    </row>
    <row r="339" spans="41:49" x14ac:dyDescent="0.25">
      <c r="AO339" s="11" t="s">
        <v>496</v>
      </c>
      <c r="AP339" s="11" t="s">
        <v>30</v>
      </c>
      <c r="AQ339" s="11" t="s">
        <v>31</v>
      </c>
      <c r="AR339" s="11" t="s">
        <v>32</v>
      </c>
      <c r="AS339" s="11" t="s">
        <v>55</v>
      </c>
      <c r="AT339" s="11" t="s">
        <v>36</v>
      </c>
      <c r="AU339" s="11" t="s">
        <v>34</v>
      </c>
      <c r="AV339" s="11" t="s">
        <v>35</v>
      </c>
      <c r="AW339" s="11" t="s">
        <v>50</v>
      </c>
    </row>
    <row r="340" spans="41:49" x14ac:dyDescent="0.25">
      <c r="AO340" s="11" t="s">
        <v>497</v>
      </c>
      <c r="AP340" s="11" t="s">
        <v>30</v>
      </c>
      <c r="AQ340" s="11" t="s">
        <v>31</v>
      </c>
      <c r="AR340" s="11" t="s">
        <v>32</v>
      </c>
      <c r="AS340" s="11" t="s">
        <v>36</v>
      </c>
      <c r="AT340" s="11" t="s">
        <v>50</v>
      </c>
      <c r="AU340" s="11" t="s">
        <v>34</v>
      </c>
      <c r="AV340" s="11" t="s">
        <v>35</v>
      </c>
      <c r="AW340" s="11" t="s">
        <v>60</v>
      </c>
    </row>
    <row r="341" spans="41:49" x14ac:dyDescent="0.25">
      <c r="AO341" s="11" t="s">
        <v>498</v>
      </c>
      <c r="AP341" s="11" t="s">
        <v>30</v>
      </c>
      <c r="AQ341" s="11" t="s">
        <v>31</v>
      </c>
      <c r="AR341" s="11" t="s">
        <v>32</v>
      </c>
      <c r="AS341" s="11" t="s">
        <v>55</v>
      </c>
      <c r="AT341" s="11" t="s">
        <v>36</v>
      </c>
      <c r="AU341" s="11" t="s">
        <v>34</v>
      </c>
      <c r="AV341" s="11" t="s">
        <v>35</v>
      </c>
      <c r="AW341" s="11" t="s">
        <v>60</v>
      </c>
    </row>
    <row r="342" spans="41:49" x14ac:dyDescent="0.25">
      <c r="AO342" s="11" t="s">
        <v>499</v>
      </c>
      <c r="AP342" s="11" t="s">
        <v>30</v>
      </c>
      <c r="AQ342" s="11" t="s">
        <v>32</v>
      </c>
      <c r="AR342" s="11" t="s">
        <v>36</v>
      </c>
      <c r="AS342" s="11" t="s">
        <v>33</v>
      </c>
      <c r="AT342" s="11" t="s">
        <v>46</v>
      </c>
      <c r="AU342" s="11" t="s">
        <v>34</v>
      </c>
      <c r="AV342" s="11" t="s">
        <v>35</v>
      </c>
      <c r="AW342" s="11" t="s">
        <v>50</v>
      </c>
    </row>
    <row r="343" spans="41:49" x14ac:dyDescent="0.25">
      <c r="AO343" s="11" t="s">
        <v>500</v>
      </c>
      <c r="AP343" s="11" t="s">
        <v>30</v>
      </c>
      <c r="AQ343" s="11" t="s">
        <v>32</v>
      </c>
      <c r="AR343" s="11" t="s">
        <v>36</v>
      </c>
      <c r="AS343" s="11" t="s">
        <v>55</v>
      </c>
      <c r="AT343" s="11" t="s">
        <v>33</v>
      </c>
      <c r="AU343" s="11" t="s">
        <v>34</v>
      </c>
      <c r="AV343" s="11" t="s">
        <v>35</v>
      </c>
      <c r="AW343" s="11" t="s">
        <v>46</v>
      </c>
    </row>
    <row r="344" spans="41:49" x14ac:dyDescent="0.25">
      <c r="AO344" s="11" t="s">
        <v>501</v>
      </c>
      <c r="AP344" s="11" t="s">
        <v>30</v>
      </c>
      <c r="AQ344" s="11" t="s">
        <v>32</v>
      </c>
      <c r="AR344" s="11" t="s">
        <v>36</v>
      </c>
      <c r="AS344" s="11" t="s">
        <v>33</v>
      </c>
      <c r="AT344" s="11" t="s">
        <v>46</v>
      </c>
      <c r="AU344" s="11" t="s">
        <v>34</v>
      </c>
      <c r="AV344" s="11" t="s">
        <v>35</v>
      </c>
      <c r="AW344" s="11" t="s">
        <v>60</v>
      </c>
    </row>
    <row r="345" spans="41:49" x14ac:dyDescent="0.25">
      <c r="AO345" s="11" t="s">
        <v>502</v>
      </c>
      <c r="AP345" s="11" t="s">
        <v>30</v>
      </c>
      <c r="AQ345" s="11" t="s">
        <v>32</v>
      </c>
      <c r="AR345" s="11" t="s">
        <v>36</v>
      </c>
      <c r="AS345" s="11" t="s">
        <v>55</v>
      </c>
      <c r="AT345" s="11" t="s">
        <v>33</v>
      </c>
      <c r="AU345" s="11" t="s">
        <v>34</v>
      </c>
      <c r="AV345" s="11" t="s">
        <v>35</v>
      </c>
      <c r="AW345" s="11" t="s">
        <v>50</v>
      </c>
    </row>
    <row r="346" spans="41:49" x14ac:dyDescent="0.25">
      <c r="AO346" s="11" t="s">
        <v>503</v>
      </c>
      <c r="AP346" s="11" t="s">
        <v>30</v>
      </c>
      <c r="AQ346" s="11" t="s">
        <v>32</v>
      </c>
      <c r="AR346" s="11" t="s">
        <v>36</v>
      </c>
      <c r="AS346" s="11" t="s">
        <v>33</v>
      </c>
      <c r="AT346" s="11" t="s">
        <v>50</v>
      </c>
      <c r="AU346" s="11" t="s">
        <v>34</v>
      </c>
      <c r="AV346" s="11" t="s">
        <v>35</v>
      </c>
      <c r="AW346" s="11" t="s">
        <v>60</v>
      </c>
    </row>
    <row r="347" spans="41:49" x14ac:dyDescent="0.25">
      <c r="AO347" s="11" t="s">
        <v>504</v>
      </c>
      <c r="AP347" s="11" t="s">
        <v>30</v>
      </c>
      <c r="AQ347" s="11" t="s">
        <v>32</v>
      </c>
      <c r="AR347" s="11" t="s">
        <v>36</v>
      </c>
      <c r="AS347" s="11" t="s">
        <v>55</v>
      </c>
      <c r="AT347" s="11" t="s">
        <v>33</v>
      </c>
      <c r="AU347" s="11" t="s">
        <v>34</v>
      </c>
      <c r="AV347" s="11" t="s">
        <v>35</v>
      </c>
      <c r="AW347" s="11" t="s">
        <v>60</v>
      </c>
    </row>
    <row r="348" spans="41:49" x14ac:dyDescent="0.25">
      <c r="AO348" s="11" t="s">
        <v>505</v>
      </c>
      <c r="AP348" s="11" t="s">
        <v>30</v>
      </c>
      <c r="AQ348" s="11" t="s">
        <v>32</v>
      </c>
      <c r="AR348" s="11" t="s">
        <v>36</v>
      </c>
      <c r="AS348" s="11" t="s">
        <v>55</v>
      </c>
      <c r="AT348" s="11" t="s">
        <v>46</v>
      </c>
      <c r="AU348" s="11" t="s">
        <v>34</v>
      </c>
      <c r="AV348" s="11" t="s">
        <v>35</v>
      </c>
      <c r="AW348" s="11" t="s">
        <v>50</v>
      </c>
    </row>
    <row r="349" spans="41:49" x14ac:dyDescent="0.25">
      <c r="AO349" s="11" t="s">
        <v>506</v>
      </c>
      <c r="AP349" s="11" t="s">
        <v>30</v>
      </c>
      <c r="AQ349" s="11" t="s">
        <v>32</v>
      </c>
      <c r="AR349" s="11" t="s">
        <v>36</v>
      </c>
      <c r="AS349" s="11" t="s">
        <v>46</v>
      </c>
      <c r="AT349" s="11" t="s">
        <v>50</v>
      </c>
      <c r="AU349" s="11" t="s">
        <v>34</v>
      </c>
      <c r="AV349" s="11" t="s">
        <v>35</v>
      </c>
      <c r="AW349" s="11" t="s">
        <v>60</v>
      </c>
    </row>
    <row r="350" spans="41:49" x14ac:dyDescent="0.25">
      <c r="AO350" s="11" t="s">
        <v>507</v>
      </c>
      <c r="AP350" s="11" t="s">
        <v>30</v>
      </c>
      <c r="AQ350" s="11" t="s">
        <v>32</v>
      </c>
      <c r="AR350" s="11" t="s">
        <v>36</v>
      </c>
      <c r="AS350" s="11" t="s">
        <v>55</v>
      </c>
      <c r="AT350" s="11" t="s">
        <v>46</v>
      </c>
      <c r="AU350" s="11" t="s">
        <v>34</v>
      </c>
      <c r="AV350" s="11" t="s">
        <v>35</v>
      </c>
      <c r="AW350" s="11" t="s">
        <v>60</v>
      </c>
    </row>
    <row r="351" spans="41:49" x14ac:dyDescent="0.25">
      <c r="AO351" s="11" t="s">
        <v>508</v>
      </c>
      <c r="AP351" s="11" t="s">
        <v>30</v>
      </c>
      <c r="AQ351" s="11" t="s">
        <v>32</v>
      </c>
      <c r="AR351" s="11" t="s">
        <v>36</v>
      </c>
      <c r="AS351" s="11" t="s">
        <v>55</v>
      </c>
      <c r="AT351" s="11" t="s">
        <v>50</v>
      </c>
      <c r="AU351" s="11" t="s">
        <v>34</v>
      </c>
      <c r="AV351" s="11" t="s">
        <v>35</v>
      </c>
      <c r="AW351" s="11" t="s">
        <v>60</v>
      </c>
    </row>
    <row r="352" spans="41:49" x14ac:dyDescent="0.25">
      <c r="AO352" s="11" t="s">
        <v>509</v>
      </c>
      <c r="AP352" s="11" t="s">
        <v>30</v>
      </c>
      <c r="AQ352" s="11" t="s">
        <v>31</v>
      </c>
      <c r="AR352" s="11" t="s">
        <v>32</v>
      </c>
      <c r="AS352" s="11" t="s">
        <v>36</v>
      </c>
      <c r="AT352" s="11" t="s">
        <v>33</v>
      </c>
      <c r="AU352" s="11" t="s">
        <v>34</v>
      </c>
      <c r="AV352" s="11" t="s">
        <v>50</v>
      </c>
      <c r="AW352" s="11" t="s">
        <v>46</v>
      </c>
    </row>
    <row r="353" spans="41:49" x14ac:dyDescent="0.25">
      <c r="AO353" s="11" t="s">
        <v>510</v>
      </c>
      <c r="AP353" s="11" t="s">
        <v>30</v>
      </c>
      <c r="AQ353" s="11" t="s">
        <v>31</v>
      </c>
      <c r="AR353" s="11" t="s">
        <v>32</v>
      </c>
      <c r="AS353" s="11" t="s">
        <v>55</v>
      </c>
      <c r="AT353" s="11" t="s">
        <v>33</v>
      </c>
      <c r="AU353" s="11" t="s">
        <v>34</v>
      </c>
      <c r="AV353" s="11" t="s">
        <v>36</v>
      </c>
      <c r="AW353" s="11" t="s">
        <v>46</v>
      </c>
    </row>
    <row r="354" spans="41:49" x14ac:dyDescent="0.25">
      <c r="AO354" s="11" t="s">
        <v>511</v>
      </c>
      <c r="AP354" s="11" t="s">
        <v>30</v>
      </c>
      <c r="AQ354" s="11" t="s">
        <v>31</v>
      </c>
      <c r="AR354" s="11" t="s">
        <v>32</v>
      </c>
      <c r="AS354" s="11" t="s">
        <v>36</v>
      </c>
      <c r="AT354" s="11" t="s">
        <v>33</v>
      </c>
      <c r="AU354" s="11" t="s">
        <v>34</v>
      </c>
      <c r="AV354" s="11" t="s">
        <v>46</v>
      </c>
      <c r="AW354" s="11" t="s">
        <v>60</v>
      </c>
    </row>
    <row r="355" spans="41:49" x14ac:dyDescent="0.25">
      <c r="AO355" s="11" t="s">
        <v>512</v>
      </c>
      <c r="AP355" s="11" t="s">
        <v>30</v>
      </c>
      <c r="AQ355" s="11" t="s">
        <v>31</v>
      </c>
      <c r="AR355" s="11" t="s">
        <v>32</v>
      </c>
      <c r="AS355" s="11" t="s">
        <v>55</v>
      </c>
      <c r="AT355" s="11" t="s">
        <v>33</v>
      </c>
      <c r="AU355" s="11" t="s">
        <v>34</v>
      </c>
      <c r="AV355" s="11" t="s">
        <v>50</v>
      </c>
      <c r="AW355" s="11" t="s">
        <v>36</v>
      </c>
    </row>
    <row r="356" spans="41:49" x14ac:dyDescent="0.25">
      <c r="AO356" s="11" t="s">
        <v>513</v>
      </c>
      <c r="AP356" s="11" t="s">
        <v>30</v>
      </c>
      <c r="AQ356" s="11" t="s">
        <v>31</v>
      </c>
      <c r="AR356" s="11" t="s">
        <v>32</v>
      </c>
      <c r="AS356" s="11" t="s">
        <v>36</v>
      </c>
      <c r="AT356" s="11" t="s">
        <v>33</v>
      </c>
      <c r="AU356" s="11" t="s">
        <v>34</v>
      </c>
      <c r="AV356" s="11" t="s">
        <v>50</v>
      </c>
      <c r="AW356" s="11" t="s">
        <v>60</v>
      </c>
    </row>
    <row r="357" spans="41:49" x14ac:dyDescent="0.25">
      <c r="AO357" s="11" t="s">
        <v>514</v>
      </c>
      <c r="AP357" s="11" t="s">
        <v>30</v>
      </c>
      <c r="AQ357" s="11" t="s">
        <v>31</v>
      </c>
      <c r="AR357" s="11" t="s">
        <v>32</v>
      </c>
      <c r="AS357" s="11" t="s">
        <v>55</v>
      </c>
      <c r="AT357" s="11" t="s">
        <v>33</v>
      </c>
      <c r="AU357" s="11" t="s">
        <v>34</v>
      </c>
      <c r="AV357" s="11" t="s">
        <v>36</v>
      </c>
      <c r="AW357" s="11" t="s">
        <v>60</v>
      </c>
    </row>
    <row r="358" spans="41:49" x14ac:dyDescent="0.25">
      <c r="AO358" s="11" t="s">
        <v>515</v>
      </c>
      <c r="AP358" s="11" t="s">
        <v>30</v>
      </c>
      <c r="AQ358" s="11" t="s">
        <v>31</v>
      </c>
      <c r="AR358" s="11" t="s">
        <v>32</v>
      </c>
      <c r="AS358" s="11" t="s">
        <v>55</v>
      </c>
      <c r="AT358" s="11" t="s">
        <v>36</v>
      </c>
      <c r="AU358" s="11" t="s">
        <v>34</v>
      </c>
      <c r="AV358" s="11" t="s">
        <v>50</v>
      </c>
      <c r="AW358" s="11" t="s">
        <v>46</v>
      </c>
    </row>
    <row r="359" spans="41:49" x14ac:dyDescent="0.25">
      <c r="AO359" s="11" t="s">
        <v>516</v>
      </c>
      <c r="AP359" s="11" t="s">
        <v>30</v>
      </c>
      <c r="AQ359" s="11" t="s">
        <v>31</v>
      </c>
      <c r="AR359" s="11" t="s">
        <v>32</v>
      </c>
      <c r="AS359" s="11" t="s">
        <v>36</v>
      </c>
      <c r="AT359" s="11" t="s">
        <v>46</v>
      </c>
      <c r="AU359" s="11" t="s">
        <v>34</v>
      </c>
      <c r="AV359" s="11" t="s">
        <v>50</v>
      </c>
      <c r="AW359" s="11" t="s">
        <v>60</v>
      </c>
    </row>
    <row r="360" spans="41:49" x14ac:dyDescent="0.25">
      <c r="AO360" s="11" t="s">
        <v>517</v>
      </c>
      <c r="AP360" s="11" t="s">
        <v>30</v>
      </c>
      <c r="AQ360" s="11" t="s">
        <v>31</v>
      </c>
      <c r="AR360" s="11" t="s">
        <v>32</v>
      </c>
      <c r="AS360" s="11" t="s">
        <v>55</v>
      </c>
      <c r="AT360" s="11" t="s">
        <v>36</v>
      </c>
      <c r="AU360" s="11" t="s">
        <v>34</v>
      </c>
      <c r="AV360" s="11" t="s">
        <v>46</v>
      </c>
      <c r="AW360" s="11" t="s">
        <v>60</v>
      </c>
    </row>
    <row r="361" spans="41:49" x14ac:dyDescent="0.25">
      <c r="AO361" s="11" t="s">
        <v>518</v>
      </c>
      <c r="AP361" s="11" t="s">
        <v>30</v>
      </c>
      <c r="AQ361" s="11" t="s">
        <v>31</v>
      </c>
      <c r="AR361" s="11" t="s">
        <v>32</v>
      </c>
      <c r="AS361" s="11" t="s">
        <v>55</v>
      </c>
      <c r="AT361" s="11" t="s">
        <v>36</v>
      </c>
      <c r="AU361" s="11" t="s">
        <v>34</v>
      </c>
      <c r="AV361" s="11" t="s">
        <v>50</v>
      </c>
      <c r="AW361" s="11" t="s">
        <v>60</v>
      </c>
    </row>
    <row r="362" spans="41:49" x14ac:dyDescent="0.25">
      <c r="AO362" s="11" t="s">
        <v>519</v>
      </c>
      <c r="AP362" s="11" t="s">
        <v>30</v>
      </c>
      <c r="AQ362" s="11" t="s">
        <v>32</v>
      </c>
      <c r="AR362" s="11" t="s">
        <v>36</v>
      </c>
      <c r="AS362" s="11" t="s">
        <v>55</v>
      </c>
      <c r="AT362" s="11" t="s">
        <v>33</v>
      </c>
      <c r="AU362" s="11" t="s">
        <v>34</v>
      </c>
      <c r="AV362" s="11" t="s">
        <v>50</v>
      </c>
      <c r="AW362" s="11" t="s">
        <v>46</v>
      </c>
    </row>
    <row r="363" spans="41:49" x14ac:dyDescent="0.25">
      <c r="AO363" s="11" t="s">
        <v>520</v>
      </c>
      <c r="AP363" s="11" t="s">
        <v>30</v>
      </c>
      <c r="AQ363" s="11" t="s">
        <v>32</v>
      </c>
      <c r="AR363" s="11" t="s">
        <v>36</v>
      </c>
      <c r="AS363" s="11" t="s">
        <v>33</v>
      </c>
      <c r="AT363" s="11" t="s">
        <v>46</v>
      </c>
      <c r="AU363" s="11" t="s">
        <v>34</v>
      </c>
      <c r="AV363" s="11" t="s">
        <v>50</v>
      </c>
      <c r="AW363" s="11" t="s">
        <v>60</v>
      </c>
    </row>
    <row r="364" spans="41:49" x14ac:dyDescent="0.25">
      <c r="AO364" s="11" t="s">
        <v>521</v>
      </c>
      <c r="AP364" s="11" t="s">
        <v>30</v>
      </c>
      <c r="AQ364" s="11" t="s">
        <v>32</v>
      </c>
      <c r="AR364" s="11" t="s">
        <v>36</v>
      </c>
      <c r="AS364" s="11" t="s">
        <v>55</v>
      </c>
      <c r="AT364" s="11" t="s">
        <v>33</v>
      </c>
      <c r="AU364" s="11" t="s">
        <v>34</v>
      </c>
      <c r="AV364" s="11" t="s">
        <v>46</v>
      </c>
      <c r="AW364" s="11" t="s">
        <v>60</v>
      </c>
    </row>
    <row r="365" spans="41:49" x14ac:dyDescent="0.25">
      <c r="AO365" s="11" t="s">
        <v>522</v>
      </c>
      <c r="AP365" s="11" t="s">
        <v>30</v>
      </c>
      <c r="AQ365" s="11" t="s">
        <v>32</v>
      </c>
      <c r="AR365" s="11" t="s">
        <v>36</v>
      </c>
      <c r="AS365" s="11" t="s">
        <v>55</v>
      </c>
      <c r="AT365" s="11" t="s">
        <v>33</v>
      </c>
      <c r="AU365" s="11" t="s">
        <v>34</v>
      </c>
      <c r="AV365" s="11" t="s">
        <v>50</v>
      </c>
      <c r="AW365" s="11" t="s">
        <v>60</v>
      </c>
    </row>
    <row r="366" spans="41:49" x14ac:dyDescent="0.25">
      <c r="AO366" s="11" t="s">
        <v>523</v>
      </c>
      <c r="AP366" s="11" t="s">
        <v>30</v>
      </c>
      <c r="AQ366" s="11" t="s">
        <v>32</v>
      </c>
      <c r="AR366" s="11" t="s">
        <v>36</v>
      </c>
      <c r="AS366" s="11" t="s">
        <v>55</v>
      </c>
      <c r="AT366" s="11" t="s">
        <v>46</v>
      </c>
      <c r="AU366" s="11" t="s">
        <v>34</v>
      </c>
      <c r="AV366" s="11" t="s">
        <v>50</v>
      </c>
      <c r="AW366" s="11" t="s">
        <v>60</v>
      </c>
    </row>
    <row r="367" spans="41:49" x14ac:dyDescent="0.25">
      <c r="AO367" s="11" t="s">
        <v>524</v>
      </c>
      <c r="AP367" s="11" t="s">
        <v>30</v>
      </c>
      <c r="AQ367" s="11" t="s">
        <v>31</v>
      </c>
      <c r="AR367" s="11" t="s">
        <v>32</v>
      </c>
      <c r="AS367" s="11" t="s">
        <v>33</v>
      </c>
      <c r="AT367" s="11" t="s">
        <v>46</v>
      </c>
      <c r="AU367" s="11" t="s">
        <v>34</v>
      </c>
      <c r="AV367" s="11" t="s">
        <v>35</v>
      </c>
      <c r="AW367" s="11" t="s">
        <v>50</v>
      </c>
    </row>
    <row r="368" spans="41:49" x14ac:dyDescent="0.25">
      <c r="AO368" s="11" t="s">
        <v>525</v>
      </c>
      <c r="AP368" s="11" t="s">
        <v>30</v>
      </c>
      <c r="AQ368" s="11" t="s">
        <v>31</v>
      </c>
      <c r="AR368" s="11" t="s">
        <v>32</v>
      </c>
      <c r="AS368" s="11" t="s">
        <v>55</v>
      </c>
      <c r="AT368" s="11" t="s">
        <v>33</v>
      </c>
      <c r="AU368" s="11" t="s">
        <v>34</v>
      </c>
      <c r="AV368" s="11" t="s">
        <v>35</v>
      </c>
      <c r="AW368" s="11" t="s">
        <v>46</v>
      </c>
    </row>
    <row r="369" spans="41:49" x14ac:dyDescent="0.25">
      <c r="AO369" s="11" t="s">
        <v>526</v>
      </c>
      <c r="AP369" s="11" t="s">
        <v>30</v>
      </c>
      <c r="AQ369" s="11" t="s">
        <v>31</v>
      </c>
      <c r="AR369" s="11" t="s">
        <v>32</v>
      </c>
      <c r="AS369" s="11" t="s">
        <v>33</v>
      </c>
      <c r="AT369" s="11" t="s">
        <v>46</v>
      </c>
      <c r="AU369" s="11" t="s">
        <v>34</v>
      </c>
      <c r="AV369" s="11" t="s">
        <v>35</v>
      </c>
      <c r="AW369" s="11" t="s">
        <v>60</v>
      </c>
    </row>
    <row r="370" spans="41:49" x14ac:dyDescent="0.25">
      <c r="AO370" s="11" t="s">
        <v>527</v>
      </c>
      <c r="AP370" s="11" t="s">
        <v>30</v>
      </c>
      <c r="AQ370" s="11" t="s">
        <v>31</v>
      </c>
      <c r="AR370" s="11" t="s">
        <v>32</v>
      </c>
      <c r="AS370" s="11" t="s">
        <v>55</v>
      </c>
      <c r="AT370" s="11" t="s">
        <v>33</v>
      </c>
      <c r="AU370" s="11" t="s">
        <v>34</v>
      </c>
      <c r="AV370" s="11" t="s">
        <v>35</v>
      </c>
      <c r="AW370" s="11" t="s">
        <v>50</v>
      </c>
    </row>
    <row r="371" spans="41:49" x14ac:dyDescent="0.25">
      <c r="AO371" s="11" t="s">
        <v>528</v>
      </c>
      <c r="AP371" s="11" t="s">
        <v>30</v>
      </c>
      <c r="AQ371" s="11" t="s">
        <v>31</v>
      </c>
      <c r="AR371" s="11" t="s">
        <v>32</v>
      </c>
      <c r="AS371" s="11" t="s">
        <v>33</v>
      </c>
      <c r="AT371" s="11" t="s">
        <v>50</v>
      </c>
      <c r="AU371" s="11" t="s">
        <v>34</v>
      </c>
      <c r="AV371" s="11" t="s">
        <v>35</v>
      </c>
      <c r="AW371" s="11" t="s">
        <v>60</v>
      </c>
    </row>
    <row r="372" spans="41:49" x14ac:dyDescent="0.25">
      <c r="AO372" s="11" t="s">
        <v>529</v>
      </c>
      <c r="AP372" s="11" t="s">
        <v>30</v>
      </c>
      <c r="AQ372" s="11" t="s">
        <v>31</v>
      </c>
      <c r="AR372" s="11" t="s">
        <v>32</v>
      </c>
      <c r="AS372" s="11" t="s">
        <v>55</v>
      </c>
      <c r="AT372" s="11" t="s">
        <v>33</v>
      </c>
      <c r="AU372" s="11" t="s">
        <v>34</v>
      </c>
      <c r="AV372" s="11" t="s">
        <v>35</v>
      </c>
      <c r="AW372" s="11" t="s">
        <v>60</v>
      </c>
    </row>
    <row r="373" spans="41:49" x14ac:dyDescent="0.25">
      <c r="AO373" s="11" t="s">
        <v>530</v>
      </c>
      <c r="AP373" s="11" t="s">
        <v>30</v>
      </c>
      <c r="AQ373" s="11" t="s">
        <v>31</v>
      </c>
      <c r="AR373" s="11" t="s">
        <v>32</v>
      </c>
      <c r="AS373" s="11" t="s">
        <v>55</v>
      </c>
      <c r="AT373" s="11" t="s">
        <v>46</v>
      </c>
      <c r="AU373" s="11" t="s">
        <v>34</v>
      </c>
      <c r="AV373" s="11" t="s">
        <v>35</v>
      </c>
      <c r="AW373" s="11" t="s">
        <v>50</v>
      </c>
    </row>
    <row r="374" spans="41:49" x14ac:dyDescent="0.25">
      <c r="AO374" s="11" t="s">
        <v>531</v>
      </c>
      <c r="AP374" s="11" t="s">
        <v>30</v>
      </c>
      <c r="AQ374" s="11" t="s">
        <v>31</v>
      </c>
      <c r="AR374" s="11" t="s">
        <v>32</v>
      </c>
      <c r="AS374" s="11" t="s">
        <v>46</v>
      </c>
      <c r="AT374" s="11" t="s">
        <v>50</v>
      </c>
      <c r="AU374" s="11" t="s">
        <v>34</v>
      </c>
      <c r="AV374" s="11" t="s">
        <v>35</v>
      </c>
      <c r="AW374" s="11" t="s">
        <v>60</v>
      </c>
    </row>
    <row r="375" spans="41:49" x14ac:dyDescent="0.25">
      <c r="AO375" s="11" t="s">
        <v>532</v>
      </c>
      <c r="AP375" s="11" t="s">
        <v>30</v>
      </c>
      <c r="AQ375" s="11" t="s">
        <v>31</v>
      </c>
      <c r="AR375" s="11" t="s">
        <v>32</v>
      </c>
      <c r="AS375" s="11" t="s">
        <v>55</v>
      </c>
      <c r="AT375" s="11" t="s">
        <v>46</v>
      </c>
      <c r="AU375" s="11" t="s">
        <v>34</v>
      </c>
      <c r="AV375" s="11" t="s">
        <v>35</v>
      </c>
      <c r="AW375" s="11" t="s">
        <v>60</v>
      </c>
    </row>
    <row r="376" spans="41:49" x14ac:dyDescent="0.25">
      <c r="AO376" s="11" t="s">
        <v>533</v>
      </c>
      <c r="AP376" s="11" t="s">
        <v>30</v>
      </c>
      <c r="AQ376" s="11" t="s">
        <v>31</v>
      </c>
      <c r="AR376" s="11" t="s">
        <v>32</v>
      </c>
      <c r="AS376" s="11" t="s">
        <v>55</v>
      </c>
      <c r="AT376" s="11" t="s">
        <v>50</v>
      </c>
      <c r="AU376" s="11" t="s">
        <v>34</v>
      </c>
      <c r="AV376" s="11" t="s">
        <v>35</v>
      </c>
      <c r="AW376" s="11" t="s">
        <v>60</v>
      </c>
    </row>
    <row r="377" spans="41:49" x14ac:dyDescent="0.25">
      <c r="AO377" s="11" t="s">
        <v>534</v>
      </c>
      <c r="AP377" s="11" t="s">
        <v>30</v>
      </c>
      <c r="AQ377" s="11" t="s">
        <v>32</v>
      </c>
      <c r="AR377" s="11" t="s">
        <v>35</v>
      </c>
      <c r="AS377" s="11" t="s">
        <v>55</v>
      </c>
      <c r="AT377" s="11" t="s">
        <v>33</v>
      </c>
      <c r="AU377" s="11" t="s">
        <v>34</v>
      </c>
      <c r="AV377" s="11" t="s">
        <v>50</v>
      </c>
      <c r="AW377" s="11" t="s">
        <v>46</v>
      </c>
    </row>
    <row r="378" spans="41:49" x14ac:dyDescent="0.25">
      <c r="AO378" s="11" t="s">
        <v>535</v>
      </c>
      <c r="AP378" s="11" t="s">
        <v>30</v>
      </c>
      <c r="AQ378" s="11" t="s">
        <v>32</v>
      </c>
      <c r="AR378" s="11" t="s">
        <v>35</v>
      </c>
      <c r="AS378" s="11" t="s">
        <v>33</v>
      </c>
      <c r="AT378" s="11" t="s">
        <v>46</v>
      </c>
      <c r="AU378" s="11" t="s">
        <v>34</v>
      </c>
      <c r="AV378" s="11" t="s">
        <v>50</v>
      </c>
      <c r="AW378" s="11" t="s">
        <v>60</v>
      </c>
    </row>
    <row r="379" spans="41:49" x14ac:dyDescent="0.25">
      <c r="AO379" s="11" t="s">
        <v>536</v>
      </c>
      <c r="AP379" s="11" t="s">
        <v>30</v>
      </c>
      <c r="AQ379" s="11" t="s">
        <v>32</v>
      </c>
      <c r="AR379" s="11" t="s">
        <v>35</v>
      </c>
      <c r="AS379" s="11" t="s">
        <v>55</v>
      </c>
      <c r="AT379" s="11" t="s">
        <v>33</v>
      </c>
      <c r="AU379" s="11" t="s">
        <v>34</v>
      </c>
      <c r="AV379" s="11" t="s">
        <v>46</v>
      </c>
      <c r="AW379" s="11" t="s">
        <v>60</v>
      </c>
    </row>
    <row r="380" spans="41:49" x14ac:dyDescent="0.25">
      <c r="AO380" s="11" t="s">
        <v>537</v>
      </c>
      <c r="AP380" s="11" t="s">
        <v>30</v>
      </c>
      <c r="AQ380" s="11" t="s">
        <v>32</v>
      </c>
      <c r="AR380" s="11" t="s">
        <v>35</v>
      </c>
      <c r="AS380" s="11" t="s">
        <v>55</v>
      </c>
      <c r="AT380" s="11" t="s">
        <v>33</v>
      </c>
      <c r="AU380" s="11" t="s">
        <v>34</v>
      </c>
      <c r="AV380" s="11" t="s">
        <v>50</v>
      </c>
      <c r="AW380" s="11" t="s">
        <v>60</v>
      </c>
    </row>
    <row r="381" spans="41:49" x14ac:dyDescent="0.25">
      <c r="AO381" s="11" t="s">
        <v>538</v>
      </c>
      <c r="AP381" s="11" t="s">
        <v>30</v>
      </c>
      <c r="AQ381" s="11" t="s">
        <v>32</v>
      </c>
      <c r="AR381" s="11" t="s">
        <v>35</v>
      </c>
      <c r="AS381" s="11" t="s">
        <v>55</v>
      </c>
      <c r="AT381" s="11" t="s">
        <v>46</v>
      </c>
      <c r="AU381" s="11" t="s">
        <v>34</v>
      </c>
      <c r="AV381" s="11" t="s">
        <v>50</v>
      </c>
      <c r="AW381" s="11" t="s">
        <v>60</v>
      </c>
    </row>
    <row r="382" spans="41:49" x14ac:dyDescent="0.25">
      <c r="AO382" s="11" t="s">
        <v>539</v>
      </c>
      <c r="AP382" s="11" t="s">
        <v>30</v>
      </c>
      <c r="AQ382" s="11" t="s">
        <v>31</v>
      </c>
      <c r="AR382" s="11" t="s">
        <v>32</v>
      </c>
      <c r="AS382" s="11" t="s">
        <v>55</v>
      </c>
      <c r="AT382" s="11" t="s">
        <v>33</v>
      </c>
      <c r="AU382" s="11" t="s">
        <v>34</v>
      </c>
      <c r="AV382" s="11" t="s">
        <v>50</v>
      </c>
      <c r="AW382" s="11" t="s">
        <v>46</v>
      </c>
    </row>
    <row r="383" spans="41:49" x14ac:dyDescent="0.25">
      <c r="AO383" s="11" t="s">
        <v>540</v>
      </c>
      <c r="AP383" s="11" t="s">
        <v>30</v>
      </c>
      <c r="AQ383" s="11" t="s">
        <v>31</v>
      </c>
      <c r="AR383" s="11" t="s">
        <v>32</v>
      </c>
      <c r="AS383" s="11" t="s">
        <v>33</v>
      </c>
      <c r="AT383" s="11" t="s">
        <v>46</v>
      </c>
      <c r="AU383" s="11" t="s">
        <v>34</v>
      </c>
      <c r="AV383" s="11" t="s">
        <v>50</v>
      </c>
      <c r="AW383" s="11" t="s">
        <v>60</v>
      </c>
    </row>
    <row r="384" spans="41:49" x14ac:dyDescent="0.25">
      <c r="AO384" s="11" t="s">
        <v>541</v>
      </c>
      <c r="AP384" s="11" t="s">
        <v>30</v>
      </c>
      <c r="AQ384" s="11" t="s">
        <v>31</v>
      </c>
      <c r="AR384" s="11" t="s">
        <v>32</v>
      </c>
      <c r="AS384" s="11" t="s">
        <v>55</v>
      </c>
      <c r="AT384" s="11" t="s">
        <v>33</v>
      </c>
      <c r="AU384" s="11" t="s">
        <v>34</v>
      </c>
      <c r="AV384" s="11" t="s">
        <v>46</v>
      </c>
      <c r="AW384" s="11" t="s">
        <v>60</v>
      </c>
    </row>
    <row r="385" spans="41:49" x14ac:dyDescent="0.25">
      <c r="AO385" s="11" t="s">
        <v>542</v>
      </c>
      <c r="AP385" s="11" t="s">
        <v>30</v>
      </c>
      <c r="AQ385" s="11" t="s">
        <v>31</v>
      </c>
      <c r="AR385" s="11" t="s">
        <v>32</v>
      </c>
      <c r="AS385" s="11" t="s">
        <v>55</v>
      </c>
      <c r="AT385" s="11" t="s">
        <v>33</v>
      </c>
      <c r="AU385" s="11" t="s">
        <v>34</v>
      </c>
      <c r="AV385" s="11" t="s">
        <v>50</v>
      </c>
      <c r="AW385" s="11" t="s">
        <v>60</v>
      </c>
    </row>
    <row r="386" spans="41:49" x14ac:dyDescent="0.25">
      <c r="AO386" s="11" t="s">
        <v>543</v>
      </c>
      <c r="AP386" s="11" t="s">
        <v>30</v>
      </c>
      <c r="AQ386" s="11" t="s">
        <v>31</v>
      </c>
      <c r="AR386" s="11" t="s">
        <v>32</v>
      </c>
      <c r="AS386" s="11" t="s">
        <v>55</v>
      </c>
      <c r="AT386" s="11" t="s">
        <v>46</v>
      </c>
      <c r="AU386" s="11" t="s">
        <v>34</v>
      </c>
      <c r="AV386" s="11" t="s">
        <v>50</v>
      </c>
      <c r="AW386" s="11" t="s">
        <v>60</v>
      </c>
    </row>
    <row r="387" spans="41:49" x14ac:dyDescent="0.25">
      <c r="AO387" s="11" t="s">
        <v>544</v>
      </c>
      <c r="AP387" s="11" t="s">
        <v>30</v>
      </c>
      <c r="AQ387" s="11" t="s">
        <v>32</v>
      </c>
      <c r="AR387" s="11" t="s">
        <v>33</v>
      </c>
      <c r="AS387" s="11" t="s">
        <v>55</v>
      </c>
      <c r="AT387" s="11" t="s">
        <v>46</v>
      </c>
      <c r="AU387" s="11" t="s">
        <v>34</v>
      </c>
      <c r="AV387" s="11" t="s">
        <v>50</v>
      </c>
      <c r="AW387" s="11" t="s">
        <v>60</v>
      </c>
    </row>
    <row r="388" spans="41:49" x14ac:dyDescent="0.25">
      <c r="AO388" s="11" t="s">
        <v>545</v>
      </c>
      <c r="AP388" s="11" t="s">
        <v>34</v>
      </c>
      <c r="AQ388" s="11" t="s">
        <v>31</v>
      </c>
      <c r="AR388" s="11" t="s">
        <v>32</v>
      </c>
      <c r="AS388" s="11" t="s">
        <v>36</v>
      </c>
      <c r="AT388" s="11" t="s">
        <v>33</v>
      </c>
      <c r="AU388" s="11" t="s">
        <v>46</v>
      </c>
      <c r="AV388" s="11" t="s">
        <v>35</v>
      </c>
      <c r="AW388" s="11" t="s">
        <v>50</v>
      </c>
    </row>
    <row r="389" spans="41:49" x14ac:dyDescent="0.25">
      <c r="AO389" s="11" t="s">
        <v>546</v>
      </c>
      <c r="AP389" s="11" t="s">
        <v>34</v>
      </c>
      <c r="AQ389" s="11" t="s">
        <v>31</v>
      </c>
      <c r="AR389" s="11" t="s">
        <v>32</v>
      </c>
      <c r="AS389" s="11" t="s">
        <v>55</v>
      </c>
      <c r="AT389" s="11" t="s">
        <v>33</v>
      </c>
      <c r="AU389" s="11" t="s">
        <v>46</v>
      </c>
      <c r="AV389" s="11" t="s">
        <v>35</v>
      </c>
      <c r="AW389" s="11" t="s">
        <v>36</v>
      </c>
    </row>
    <row r="390" spans="41:49" x14ac:dyDescent="0.25">
      <c r="AO390" s="11" t="s">
        <v>547</v>
      </c>
      <c r="AP390" s="11" t="s">
        <v>34</v>
      </c>
      <c r="AQ390" s="11" t="s">
        <v>31</v>
      </c>
      <c r="AR390" s="11" t="s">
        <v>32</v>
      </c>
      <c r="AS390" s="11" t="s">
        <v>36</v>
      </c>
      <c r="AT390" s="11" t="s">
        <v>33</v>
      </c>
      <c r="AU390" s="11" t="s">
        <v>46</v>
      </c>
      <c r="AV390" s="11" t="s">
        <v>35</v>
      </c>
      <c r="AW390" s="11" t="s">
        <v>60</v>
      </c>
    </row>
    <row r="391" spans="41:49" x14ac:dyDescent="0.25">
      <c r="AO391" s="11" t="s">
        <v>548</v>
      </c>
      <c r="AP391" s="11" t="s">
        <v>34</v>
      </c>
      <c r="AQ391" s="11" t="s">
        <v>31</v>
      </c>
      <c r="AR391" s="11" t="s">
        <v>32</v>
      </c>
      <c r="AS391" s="11" t="s">
        <v>55</v>
      </c>
      <c r="AT391" s="11" t="s">
        <v>33</v>
      </c>
      <c r="AU391" s="11" t="s">
        <v>36</v>
      </c>
      <c r="AV391" s="11" t="s">
        <v>35</v>
      </c>
      <c r="AW391" s="11" t="s">
        <v>50</v>
      </c>
    </row>
    <row r="392" spans="41:49" x14ac:dyDescent="0.25">
      <c r="AO392" s="11" t="s">
        <v>549</v>
      </c>
      <c r="AP392" s="11" t="s">
        <v>34</v>
      </c>
      <c r="AQ392" s="11" t="s">
        <v>31</v>
      </c>
      <c r="AR392" s="11" t="s">
        <v>32</v>
      </c>
      <c r="AS392" s="11" t="s">
        <v>36</v>
      </c>
      <c r="AT392" s="11" t="s">
        <v>33</v>
      </c>
      <c r="AU392" s="11" t="s">
        <v>35</v>
      </c>
      <c r="AV392" s="11" t="s">
        <v>50</v>
      </c>
      <c r="AW392" s="11" t="s">
        <v>60</v>
      </c>
    </row>
    <row r="393" spans="41:49" x14ac:dyDescent="0.25">
      <c r="AO393" s="11" t="s">
        <v>550</v>
      </c>
      <c r="AP393" s="11" t="s">
        <v>34</v>
      </c>
      <c r="AQ393" s="11" t="s">
        <v>31</v>
      </c>
      <c r="AR393" s="11" t="s">
        <v>32</v>
      </c>
      <c r="AS393" s="11" t="s">
        <v>55</v>
      </c>
      <c r="AT393" s="11" t="s">
        <v>33</v>
      </c>
      <c r="AU393" s="11" t="s">
        <v>36</v>
      </c>
      <c r="AV393" s="11" t="s">
        <v>35</v>
      </c>
      <c r="AW393" s="11" t="s">
        <v>60</v>
      </c>
    </row>
    <row r="394" spans="41:49" x14ac:dyDescent="0.25">
      <c r="AO394" s="11" t="s">
        <v>551</v>
      </c>
      <c r="AP394" s="11" t="s">
        <v>34</v>
      </c>
      <c r="AQ394" s="11" t="s">
        <v>31</v>
      </c>
      <c r="AR394" s="11" t="s">
        <v>32</v>
      </c>
      <c r="AS394" s="11" t="s">
        <v>55</v>
      </c>
      <c r="AT394" s="11" t="s">
        <v>36</v>
      </c>
      <c r="AU394" s="11" t="s">
        <v>46</v>
      </c>
      <c r="AV394" s="11" t="s">
        <v>35</v>
      </c>
      <c r="AW394" s="11" t="s">
        <v>50</v>
      </c>
    </row>
    <row r="395" spans="41:49" x14ac:dyDescent="0.25">
      <c r="AO395" s="11" t="s">
        <v>552</v>
      </c>
      <c r="AP395" s="11" t="s">
        <v>34</v>
      </c>
      <c r="AQ395" s="11" t="s">
        <v>31</v>
      </c>
      <c r="AR395" s="11" t="s">
        <v>32</v>
      </c>
      <c r="AS395" s="11" t="s">
        <v>36</v>
      </c>
      <c r="AT395" s="11" t="s">
        <v>46</v>
      </c>
      <c r="AU395" s="11" t="s">
        <v>35</v>
      </c>
      <c r="AV395" s="11" t="s">
        <v>50</v>
      </c>
      <c r="AW395" s="11" t="s">
        <v>60</v>
      </c>
    </row>
    <row r="396" spans="41:49" x14ac:dyDescent="0.25">
      <c r="AO396" s="11" t="s">
        <v>553</v>
      </c>
      <c r="AP396" s="11" t="s">
        <v>34</v>
      </c>
      <c r="AQ396" s="11" t="s">
        <v>31</v>
      </c>
      <c r="AR396" s="11" t="s">
        <v>32</v>
      </c>
      <c r="AS396" s="11" t="s">
        <v>55</v>
      </c>
      <c r="AT396" s="11" t="s">
        <v>36</v>
      </c>
      <c r="AU396" s="11" t="s">
        <v>46</v>
      </c>
      <c r="AV396" s="11" t="s">
        <v>35</v>
      </c>
      <c r="AW396" s="11" t="s">
        <v>60</v>
      </c>
    </row>
    <row r="397" spans="41:49" x14ac:dyDescent="0.25">
      <c r="AO397" s="11" t="s">
        <v>554</v>
      </c>
      <c r="AP397" s="11" t="s">
        <v>34</v>
      </c>
      <c r="AQ397" s="11" t="s">
        <v>31</v>
      </c>
      <c r="AR397" s="11" t="s">
        <v>32</v>
      </c>
      <c r="AS397" s="11" t="s">
        <v>55</v>
      </c>
      <c r="AT397" s="11" t="s">
        <v>36</v>
      </c>
      <c r="AU397" s="11" t="s">
        <v>35</v>
      </c>
      <c r="AV397" s="11" t="s">
        <v>50</v>
      </c>
      <c r="AW397" s="11" t="s">
        <v>60</v>
      </c>
    </row>
    <row r="398" spans="41:49" x14ac:dyDescent="0.25">
      <c r="AO398" s="11" t="s">
        <v>555</v>
      </c>
      <c r="AP398" s="11" t="s">
        <v>34</v>
      </c>
      <c r="AQ398" s="11" t="s">
        <v>32</v>
      </c>
      <c r="AR398" s="11" t="s">
        <v>36</v>
      </c>
      <c r="AS398" s="11" t="s">
        <v>55</v>
      </c>
      <c r="AT398" s="11" t="s">
        <v>33</v>
      </c>
      <c r="AU398" s="11" t="s">
        <v>46</v>
      </c>
      <c r="AV398" s="11" t="s">
        <v>35</v>
      </c>
      <c r="AW398" s="11" t="s">
        <v>50</v>
      </c>
    </row>
    <row r="399" spans="41:49" x14ac:dyDescent="0.25">
      <c r="AO399" s="11" t="s">
        <v>556</v>
      </c>
      <c r="AP399" s="11" t="s">
        <v>34</v>
      </c>
      <c r="AQ399" s="11" t="s">
        <v>32</v>
      </c>
      <c r="AR399" s="11" t="s">
        <v>36</v>
      </c>
      <c r="AS399" s="11" t="s">
        <v>33</v>
      </c>
      <c r="AT399" s="11" t="s">
        <v>46</v>
      </c>
      <c r="AU399" s="11" t="s">
        <v>35</v>
      </c>
      <c r="AV399" s="11" t="s">
        <v>50</v>
      </c>
      <c r="AW399" s="11" t="s">
        <v>60</v>
      </c>
    </row>
    <row r="400" spans="41:49" x14ac:dyDescent="0.25">
      <c r="AO400" s="11" t="s">
        <v>557</v>
      </c>
      <c r="AP400" s="11" t="s">
        <v>34</v>
      </c>
      <c r="AQ400" s="11" t="s">
        <v>32</v>
      </c>
      <c r="AR400" s="11" t="s">
        <v>36</v>
      </c>
      <c r="AS400" s="11" t="s">
        <v>55</v>
      </c>
      <c r="AT400" s="11" t="s">
        <v>33</v>
      </c>
      <c r="AU400" s="11" t="s">
        <v>46</v>
      </c>
      <c r="AV400" s="11" t="s">
        <v>35</v>
      </c>
      <c r="AW400" s="11" t="s">
        <v>60</v>
      </c>
    </row>
    <row r="401" spans="41:49" x14ac:dyDescent="0.25">
      <c r="AO401" s="11" t="s">
        <v>558</v>
      </c>
      <c r="AP401" s="11" t="s">
        <v>34</v>
      </c>
      <c r="AQ401" s="11" t="s">
        <v>32</v>
      </c>
      <c r="AR401" s="11" t="s">
        <v>36</v>
      </c>
      <c r="AS401" s="11" t="s">
        <v>55</v>
      </c>
      <c r="AT401" s="11" t="s">
        <v>33</v>
      </c>
      <c r="AU401" s="11" t="s">
        <v>35</v>
      </c>
      <c r="AV401" s="11" t="s">
        <v>50</v>
      </c>
      <c r="AW401" s="11" t="s">
        <v>60</v>
      </c>
    </row>
    <row r="402" spans="41:49" x14ac:dyDescent="0.25">
      <c r="AO402" s="11" t="s">
        <v>559</v>
      </c>
      <c r="AP402" s="11" t="s">
        <v>34</v>
      </c>
      <c r="AQ402" s="11" t="s">
        <v>32</v>
      </c>
      <c r="AR402" s="11" t="s">
        <v>36</v>
      </c>
      <c r="AS402" s="11" t="s">
        <v>55</v>
      </c>
      <c r="AT402" s="11" t="s">
        <v>46</v>
      </c>
      <c r="AU402" s="11" t="s">
        <v>35</v>
      </c>
      <c r="AV402" s="11" t="s">
        <v>50</v>
      </c>
      <c r="AW402" s="11" t="s">
        <v>60</v>
      </c>
    </row>
    <row r="403" spans="41:49" x14ac:dyDescent="0.25">
      <c r="AO403" s="11" t="s">
        <v>560</v>
      </c>
      <c r="AP403" s="11" t="s">
        <v>34</v>
      </c>
      <c r="AQ403" s="11" t="s">
        <v>31</v>
      </c>
      <c r="AR403" s="11" t="s">
        <v>32</v>
      </c>
      <c r="AS403" s="11" t="s">
        <v>55</v>
      </c>
      <c r="AT403" s="11" t="s">
        <v>33</v>
      </c>
      <c r="AU403" s="11" t="s">
        <v>46</v>
      </c>
      <c r="AV403" s="11" t="s">
        <v>50</v>
      </c>
      <c r="AW403" s="11" t="s">
        <v>36</v>
      </c>
    </row>
    <row r="404" spans="41:49" x14ac:dyDescent="0.25">
      <c r="AO404" s="11" t="s">
        <v>561</v>
      </c>
      <c r="AP404" s="11" t="s">
        <v>34</v>
      </c>
      <c r="AQ404" s="11" t="s">
        <v>31</v>
      </c>
      <c r="AR404" s="11" t="s">
        <v>32</v>
      </c>
      <c r="AS404" s="11" t="s">
        <v>36</v>
      </c>
      <c r="AT404" s="11" t="s">
        <v>33</v>
      </c>
      <c r="AU404" s="11" t="s">
        <v>46</v>
      </c>
      <c r="AV404" s="11" t="s">
        <v>50</v>
      </c>
      <c r="AW404" s="11" t="s">
        <v>60</v>
      </c>
    </row>
    <row r="405" spans="41:49" x14ac:dyDescent="0.25">
      <c r="AO405" s="11" t="s">
        <v>562</v>
      </c>
      <c r="AP405" s="11" t="s">
        <v>34</v>
      </c>
      <c r="AQ405" s="11" t="s">
        <v>31</v>
      </c>
      <c r="AR405" s="11" t="s">
        <v>32</v>
      </c>
      <c r="AS405" s="11" t="s">
        <v>55</v>
      </c>
      <c r="AT405" s="11" t="s">
        <v>33</v>
      </c>
      <c r="AU405" s="11" t="s">
        <v>46</v>
      </c>
      <c r="AV405" s="11" t="s">
        <v>36</v>
      </c>
      <c r="AW405" s="11" t="s">
        <v>60</v>
      </c>
    </row>
    <row r="406" spans="41:49" x14ac:dyDescent="0.25">
      <c r="AO406" s="11" t="s">
        <v>563</v>
      </c>
      <c r="AP406" s="11" t="s">
        <v>34</v>
      </c>
      <c r="AQ406" s="11" t="s">
        <v>31</v>
      </c>
      <c r="AR406" s="11" t="s">
        <v>32</v>
      </c>
      <c r="AS406" s="11" t="s">
        <v>55</v>
      </c>
      <c r="AT406" s="11" t="s">
        <v>33</v>
      </c>
      <c r="AU406" s="11" t="s">
        <v>36</v>
      </c>
      <c r="AV406" s="11" t="s">
        <v>50</v>
      </c>
      <c r="AW406" s="11" t="s">
        <v>60</v>
      </c>
    </row>
    <row r="407" spans="41:49" x14ac:dyDescent="0.25">
      <c r="AO407" s="11" t="s">
        <v>564</v>
      </c>
      <c r="AP407" s="11" t="s">
        <v>34</v>
      </c>
      <c r="AQ407" s="11" t="s">
        <v>31</v>
      </c>
      <c r="AR407" s="11" t="s">
        <v>32</v>
      </c>
      <c r="AS407" s="11" t="s">
        <v>55</v>
      </c>
      <c r="AT407" s="11" t="s">
        <v>36</v>
      </c>
      <c r="AU407" s="11" t="s">
        <v>46</v>
      </c>
      <c r="AV407" s="11" t="s">
        <v>50</v>
      </c>
      <c r="AW407" s="11" t="s">
        <v>60</v>
      </c>
    </row>
    <row r="408" spans="41:49" x14ac:dyDescent="0.25">
      <c r="AO408" s="11" t="s">
        <v>565</v>
      </c>
      <c r="AP408" s="11" t="s">
        <v>34</v>
      </c>
      <c r="AQ408" s="11" t="s">
        <v>32</v>
      </c>
      <c r="AR408" s="11" t="s">
        <v>36</v>
      </c>
      <c r="AS408" s="11" t="s">
        <v>55</v>
      </c>
      <c r="AT408" s="11" t="s">
        <v>33</v>
      </c>
      <c r="AU408" s="11" t="s">
        <v>46</v>
      </c>
      <c r="AV408" s="11" t="s">
        <v>50</v>
      </c>
      <c r="AW408" s="11" t="s">
        <v>60</v>
      </c>
    </row>
    <row r="409" spans="41:49" x14ac:dyDescent="0.25">
      <c r="AO409" s="11" t="s">
        <v>566</v>
      </c>
      <c r="AP409" s="11" t="s">
        <v>34</v>
      </c>
      <c r="AQ409" s="11" t="s">
        <v>31</v>
      </c>
      <c r="AR409" s="11" t="s">
        <v>32</v>
      </c>
      <c r="AS409" s="11" t="s">
        <v>55</v>
      </c>
      <c r="AT409" s="11" t="s">
        <v>33</v>
      </c>
      <c r="AU409" s="11" t="s">
        <v>46</v>
      </c>
      <c r="AV409" s="11" t="s">
        <v>35</v>
      </c>
      <c r="AW409" s="11" t="s">
        <v>50</v>
      </c>
    </row>
    <row r="410" spans="41:49" x14ac:dyDescent="0.25">
      <c r="AO410" s="11" t="s">
        <v>567</v>
      </c>
      <c r="AP410" s="11" t="s">
        <v>34</v>
      </c>
      <c r="AQ410" s="11" t="s">
        <v>31</v>
      </c>
      <c r="AR410" s="11" t="s">
        <v>32</v>
      </c>
      <c r="AS410" s="11" t="s">
        <v>33</v>
      </c>
      <c r="AT410" s="11" t="s">
        <v>46</v>
      </c>
      <c r="AU410" s="11" t="s">
        <v>35</v>
      </c>
      <c r="AV410" s="11" t="s">
        <v>50</v>
      </c>
      <c r="AW410" s="11" t="s">
        <v>60</v>
      </c>
    </row>
    <row r="411" spans="41:49" x14ac:dyDescent="0.25">
      <c r="AO411" s="11" t="s">
        <v>568</v>
      </c>
      <c r="AP411" s="11" t="s">
        <v>34</v>
      </c>
      <c r="AQ411" s="11" t="s">
        <v>31</v>
      </c>
      <c r="AR411" s="11" t="s">
        <v>32</v>
      </c>
      <c r="AS411" s="11" t="s">
        <v>55</v>
      </c>
      <c r="AT411" s="11" t="s">
        <v>33</v>
      </c>
      <c r="AU411" s="11" t="s">
        <v>46</v>
      </c>
      <c r="AV411" s="11" t="s">
        <v>35</v>
      </c>
      <c r="AW411" s="11" t="s">
        <v>60</v>
      </c>
    </row>
    <row r="412" spans="41:49" x14ac:dyDescent="0.25">
      <c r="AO412" s="11" t="s">
        <v>569</v>
      </c>
      <c r="AP412" s="11" t="s">
        <v>34</v>
      </c>
      <c r="AQ412" s="11" t="s">
        <v>31</v>
      </c>
      <c r="AR412" s="11" t="s">
        <v>32</v>
      </c>
      <c r="AS412" s="11" t="s">
        <v>55</v>
      </c>
      <c r="AT412" s="11" t="s">
        <v>33</v>
      </c>
      <c r="AU412" s="11" t="s">
        <v>35</v>
      </c>
      <c r="AV412" s="11" t="s">
        <v>50</v>
      </c>
      <c r="AW412" s="11" t="s">
        <v>60</v>
      </c>
    </row>
    <row r="413" spans="41:49" x14ac:dyDescent="0.25">
      <c r="AO413" s="11" t="s">
        <v>570</v>
      </c>
      <c r="AP413" s="11" t="s">
        <v>34</v>
      </c>
      <c r="AQ413" s="11" t="s">
        <v>31</v>
      </c>
      <c r="AR413" s="11" t="s">
        <v>32</v>
      </c>
      <c r="AS413" s="11" t="s">
        <v>55</v>
      </c>
      <c r="AT413" s="11" t="s">
        <v>46</v>
      </c>
      <c r="AU413" s="11" t="s">
        <v>35</v>
      </c>
      <c r="AV413" s="11" t="s">
        <v>50</v>
      </c>
      <c r="AW413" s="11" t="s">
        <v>60</v>
      </c>
    </row>
    <row r="414" spans="41:49" x14ac:dyDescent="0.25">
      <c r="AO414" s="11" t="s">
        <v>571</v>
      </c>
      <c r="AP414" s="11" t="s">
        <v>34</v>
      </c>
      <c r="AQ414" s="11" t="s">
        <v>32</v>
      </c>
      <c r="AR414" s="11" t="s">
        <v>35</v>
      </c>
      <c r="AS414" s="11" t="s">
        <v>55</v>
      </c>
      <c r="AT414" s="11" t="s">
        <v>33</v>
      </c>
      <c r="AU414" s="11" t="s">
        <v>46</v>
      </c>
      <c r="AV414" s="11" t="s">
        <v>50</v>
      </c>
      <c r="AW414" s="11" t="s">
        <v>60</v>
      </c>
    </row>
    <row r="415" spans="41:49" x14ac:dyDescent="0.25">
      <c r="AO415" s="11" t="s">
        <v>572</v>
      </c>
      <c r="AP415" s="11" t="s">
        <v>34</v>
      </c>
      <c r="AQ415" s="11" t="s">
        <v>31</v>
      </c>
      <c r="AR415" s="11" t="s">
        <v>32</v>
      </c>
      <c r="AS415" s="11" t="s">
        <v>55</v>
      </c>
      <c r="AT415" s="11" t="s">
        <v>33</v>
      </c>
      <c r="AU415" s="11" t="s">
        <v>46</v>
      </c>
      <c r="AV415" s="11" t="s">
        <v>50</v>
      </c>
      <c r="AW415" s="11" t="s">
        <v>60</v>
      </c>
    </row>
    <row r="416" spans="41:49" x14ac:dyDescent="0.25">
      <c r="AO416" s="11" t="s">
        <v>573</v>
      </c>
      <c r="AP416" s="11" t="s">
        <v>30</v>
      </c>
      <c r="AQ416" s="11" t="s">
        <v>31</v>
      </c>
      <c r="AR416" s="11" t="s">
        <v>36</v>
      </c>
      <c r="AS416" s="11" t="s">
        <v>33</v>
      </c>
      <c r="AT416" s="11" t="s">
        <v>46</v>
      </c>
      <c r="AU416" s="11" t="s">
        <v>34</v>
      </c>
      <c r="AV416" s="11" t="s">
        <v>35</v>
      </c>
      <c r="AW416" s="11" t="s">
        <v>50</v>
      </c>
    </row>
    <row r="417" spans="41:49" x14ac:dyDescent="0.25">
      <c r="AO417" s="11" t="s">
        <v>574</v>
      </c>
      <c r="AP417" s="11" t="s">
        <v>30</v>
      </c>
      <c r="AQ417" s="11" t="s">
        <v>31</v>
      </c>
      <c r="AR417" s="11" t="s">
        <v>36</v>
      </c>
      <c r="AS417" s="11" t="s">
        <v>55</v>
      </c>
      <c r="AT417" s="11" t="s">
        <v>33</v>
      </c>
      <c r="AU417" s="11" t="s">
        <v>34</v>
      </c>
      <c r="AV417" s="11" t="s">
        <v>35</v>
      </c>
      <c r="AW417" s="11" t="s">
        <v>46</v>
      </c>
    </row>
    <row r="418" spans="41:49" x14ac:dyDescent="0.25">
      <c r="AO418" s="11" t="s">
        <v>575</v>
      </c>
      <c r="AP418" s="11" t="s">
        <v>30</v>
      </c>
      <c r="AQ418" s="11" t="s">
        <v>31</v>
      </c>
      <c r="AR418" s="11" t="s">
        <v>36</v>
      </c>
      <c r="AS418" s="11" t="s">
        <v>33</v>
      </c>
      <c r="AT418" s="11" t="s">
        <v>46</v>
      </c>
      <c r="AU418" s="11" t="s">
        <v>34</v>
      </c>
      <c r="AV418" s="11" t="s">
        <v>35</v>
      </c>
      <c r="AW418" s="11" t="s">
        <v>60</v>
      </c>
    </row>
    <row r="419" spans="41:49" x14ac:dyDescent="0.25">
      <c r="AO419" s="11" t="s">
        <v>576</v>
      </c>
      <c r="AP419" s="11" t="s">
        <v>30</v>
      </c>
      <c r="AQ419" s="11" t="s">
        <v>31</v>
      </c>
      <c r="AR419" s="11" t="s">
        <v>36</v>
      </c>
      <c r="AS419" s="11" t="s">
        <v>55</v>
      </c>
      <c r="AT419" s="11" t="s">
        <v>33</v>
      </c>
      <c r="AU419" s="11" t="s">
        <v>34</v>
      </c>
      <c r="AV419" s="11" t="s">
        <v>35</v>
      </c>
      <c r="AW419" s="11" t="s">
        <v>50</v>
      </c>
    </row>
    <row r="420" spans="41:49" x14ac:dyDescent="0.25">
      <c r="AO420" s="11" t="s">
        <v>577</v>
      </c>
      <c r="AP420" s="11" t="s">
        <v>30</v>
      </c>
      <c r="AQ420" s="11" t="s">
        <v>31</v>
      </c>
      <c r="AR420" s="11" t="s">
        <v>36</v>
      </c>
      <c r="AS420" s="11" t="s">
        <v>33</v>
      </c>
      <c r="AT420" s="11" t="s">
        <v>50</v>
      </c>
      <c r="AU420" s="11" t="s">
        <v>34</v>
      </c>
      <c r="AV420" s="11" t="s">
        <v>35</v>
      </c>
      <c r="AW420" s="11" t="s">
        <v>60</v>
      </c>
    </row>
    <row r="421" spans="41:49" x14ac:dyDescent="0.25">
      <c r="AO421" s="11" t="s">
        <v>578</v>
      </c>
      <c r="AP421" s="11" t="s">
        <v>30</v>
      </c>
      <c r="AQ421" s="11" t="s">
        <v>31</v>
      </c>
      <c r="AR421" s="11" t="s">
        <v>36</v>
      </c>
      <c r="AS421" s="11" t="s">
        <v>55</v>
      </c>
      <c r="AT421" s="11" t="s">
        <v>33</v>
      </c>
      <c r="AU421" s="11" t="s">
        <v>34</v>
      </c>
      <c r="AV421" s="11" t="s">
        <v>35</v>
      </c>
      <c r="AW421" s="11" t="s">
        <v>60</v>
      </c>
    </row>
    <row r="422" spans="41:49" x14ac:dyDescent="0.25">
      <c r="AO422" s="11" t="s">
        <v>579</v>
      </c>
      <c r="AP422" s="11" t="s">
        <v>30</v>
      </c>
      <c r="AQ422" s="11" t="s">
        <v>31</v>
      </c>
      <c r="AR422" s="11" t="s">
        <v>36</v>
      </c>
      <c r="AS422" s="11" t="s">
        <v>55</v>
      </c>
      <c r="AT422" s="11" t="s">
        <v>46</v>
      </c>
      <c r="AU422" s="11" t="s">
        <v>34</v>
      </c>
      <c r="AV422" s="11" t="s">
        <v>35</v>
      </c>
      <c r="AW422" s="11" t="s">
        <v>50</v>
      </c>
    </row>
    <row r="423" spans="41:49" x14ac:dyDescent="0.25">
      <c r="AO423" s="11" t="s">
        <v>580</v>
      </c>
      <c r="AP423" s="11" t="s">
        <v>30</v>
      </c>
      <c r="AQ423" s="11" t="s">
        <v>31</v>
      </c>
      <c r="AR423" s="11" t="s">
        <v>36</v>
      </c>
      <c r="AS423" s="11" t="s">
        <v>46</v>
      </c>
      <c r="AT423" s="11" t="s">
        <v>50</v>
      </c>
      <c r="AU423" s="11" t="s">
        <v>34</v>
      </c>
      <c r="AV423" s="11" t="s">
        <v>35</v>
      </c>
      <c r="AW423" s="11" t="s">
        <v>60</v>
      </c>
    </row>
    <row r="424" spans="41:49" x14ac:dyDescent="0.25">
      <c r="AO424" s="11" t="s">
        <v>581</v>
      </c>
      <c r="AP424" s="11" t="s">
        <v>30</v>
      </c>
      <c r="AQ424" s="11" t="s">
        <v>31</v>
      </c>
      <c r="AR424" s="11" t="s">
        <v>36</v>
      </c>
      <c r="AS424" s="11" t="s">
        <v>55</v>
      </c>
      <c r="AT424" s="11" t="s">
        <v>46</v>
      </c>
      <c r="AU424" s="11" t="s">
        <v>34</v>
      </c>
      <c r="AV424" s="11" t="s">
        <v>35</v>
      </c>
      <c r="AW424" s="11" t="s">
        <v>60</v>
      </c>
    </row>
    <row r="425" spans="41:49" x14ac:dyDescent="0.25">
      <c r="AO425" s="11" t="s">
        <v>582</v>
      </c>
      <c r="AP425" s="11" t="s">
        <v>30</v>
      </c>
      <c r="AQ425" s="11" t="s">
        <v>31</v>
      </c>
      <c r="AR425" s="11" t="s">
        <v>36</v>
      </c>
      <c r="AS425" s="11" t="s">
        <v>55</v>
      </c>
      <c r="AT425" s="11" t="s">
        <v>50</v>
      </c>
      <c r="AU425" s="11" t="s">
        <v>34</v>
      </c>
      <c r="AV425" s="11" t="s">
        <v>35</v>
      </c>
      <c r="AW425" s="11" t="s">
        <v>60</v>
      </c>
    </row>
    <row r="426" spans="41:49" x14ac:dyDescent="0.25">
      <c r="AO426" s="11" t="s">
        <v>583</v>
      </c>
      <c r="AP426" s="11" t="s">
        <v>30</v>
      </c>
      <c r="AQ426" s="11" t="s">
        <v>35</v>
      </c>
      <c r="AR426" s="11" t="s">
        <v>36</v>
      </c>
      <c r="AS426" s="11" t="s">
        <v>55</v>
      </c>
      <c r="AT426" s="11" t="s">
        <v>33</v>
      </c>
      <c r="AU426" s="11" t="s">
        <v>34</v>
      </c>
      <c r="AV426" s="11" t="s">
        <v>50</v>
      </c>
      <c r="AW426" s="11" t="s">
        <v>46</v>
      </c>
    </row>
    <row r="427" spans="41:49" x14ac:dyDescent="0.25">
      <c r="AO427" s="11" t="s">
        <v>584</v>
      </c>
      <c r="AP427" s="11" t="s">
        <v>30</v>
      </c>
      <c r="AQ427" s="11" t="s">
        <v>35</v>
      </c>
      <c r="AR427" s="11" t="s">
        <v>36</v>
      </c>
      <c r="AS427" s="11" t="s">
        <v>33</v>
      </c>
      <c r="AT427" s="11" t="s">
        <v>46</v>
      </c>
      <c r="AU427" s="11" t="s">
        <v>34</v>
      </c>
      <c r="AV427" s="11" t="s">
        <v>50</v>
      </c>
      <c r="AW427" s="11" t="s">
        <v>60</v>
      </c>
    </row>
    <row r="428" spans="41:49" x14ac:dyDescent="0.25">
      <c r="AO428" s="11" t="s">
        <v>585</v>
      </c>
      <c r="AP428" s="11" t="s">
        <v>30</v>
      </c>
      <c r="AQ428" s="11" t="s">
        <v>35</v>
      </c>
      <c r="AR428" s="11" t="s">
        <v>36</v>
      </c>
      <c r="AS428" s="11" t="s">
        <v>55</v>
      </c>
      <c r="AT428" s="11" t="s">
        <v>33</v>
      </c>
      <c r="AU428" s="11" t="s">
        <v>34</v>
      </c>
      <c r="AV428" s="11" t="s">
        <v>46</v>
      </c>
      <c r="AW428" s="11" t="s">
        <v>60</v>
      </c>
    </row>
    <row r="429" spans="41:49" x14ac:dyDescent="0.25">
      <c r="AO429" s="11" t="s">
        <v>586</v>
      </c>
      <c r="AP429" s="11" t="s">
        <v>30</v>
      </c>
      <c r="AQ429" s="11" t="s">
        <v>35</v>
      </c>
      <c r="AR429" s="11" t="s">
        <v>36</v>
      </c>
      <c r="AS429" s="11" t="s">
        <v>55</v>
      </c>
      <c r="AT429" s="11" t="s">
        <v>33</v>
      </c>
      <c r="AU429" s="11" t="s">
        <v>34</v>
      </c>
      <c r="AV429" s="11" t="s">
        <v>50</v>
      </c>
      <c r="AW429" s="11" t="s">
        <v>60</v>
      </c>
    </row>
    <row r="430" spans="41:49" x14ac:dyDescent="0.25">
      <c r="AO430" s="11" t="s">
        <v>587</v>
      </c>
      <c r="AP430" s="11" t="s">
        <v>30</v>
      </c>
      <c r="AQ430" s="11" t="s">
        <v>35</v>
      </c>
      <c r="AR430" s="11" t="s">
        <v>36</v>
      </c>
      <c r="AS430" s="11" t="s">
        <v>55</v>
      </c>
      <c r="AT430" s="11" t="s">
        <v>46</v>
      </c>
      <c r="AU430" s="11" t="s">
        <v>34</v>
      </c>
      <c r="AV430" s="11" t="s">
        <v>50</v>
      </c>
      <c r="AW430" s="11" t="s">
        <v>60</v>
      </c>
    </row>
    <row r="431" spans="41:49" x14ac:dyDescent="0.25">
      <c r="AO431" s="11" t="s">
        <v>588</v>
      </c>
      <c r="AP431" s="11" t="s">
        <v>30</v>
      </c>
      <c r="AQ431" s="11" t="s">
        <v>31</v>
      </c>
      <c r="AR431" s="11" t="s">
        <v>36</v>
      </c>
      <c r="AS431" s="11" t="s">
        <v>55</v>
      </c>
      <c r="AT431" s="11" t="s">
        <v>33</v>
      </c>
      <c r="AU431" s="11" t="s">
        <v>34</v>
      </c>
      <c r="AV431" s="11" t="s">
        <v>50</v>
      </c>
      <c r="AW431" s="11" t="s">
        <v>46</v>
      </c>
    </row>
    <row r="432" spans="41:49" x14ac:dyDescent="0.25">
      <c r="AO432" s="11" t="s">
        <v>589</v>
      </c>
      <c r="AP432" s="11" t="s">
        <v>30</v>
      </c>
      <c r="AQ432" s="11" t="s">
        <v>31</v>
      </c>
      <c r="AR432" s="11" t="s">
        <v>36</v>
      </c>
      <c r="AS432" s="11" t="s">
        <v>33</v>
      </c>
      <c r="AT432" s="11" t="s">
        <v>46</v>
      </c>
      <c r="AU432" s="11" t="s">
        <v>34</v>
      </c>
      <c r="AV432" s="11" t="s">
        <v>50</v>
      </c>
      <c r="AW432" s="11" t="s">
        <v>60</v>
      </c>
    </row>
    <row r="433" spans="41:49" x14ac:dyDescent="0.25">
      <c r="AO433" s="11" t="s">
        <v>590</v>
      </c>
      <c r="AP433" s="11" t="s">
        <v>30</v>
      </c>
      <c r="AQ433" s="11" t="s">
        <v>31</v>
      </c>
      <c r="AR433" s="11" t="s">
        <v>36</v>
      </c>
      <c r="AS433" s="11" t="s">
        <v>55</v>
      </c>
      <c r="AT433" s="11" t="s">
        <v>33</v>
      </c>
      <c r="AU433" s="11" t="s">
        <v>34</v>
      </c>
      <c r="AV433" s="11" t="s">
        <v>46</v>
      </c>
      <c r="AW433" s="11" t="s">
        <v>60</v>
      </c>
    </row>
    <row r="434" spans="41:49" x14ac:dyDescent="0.25">
      <c r="AO434" s="11" t="s">
        <v>591</v>
      </c>
      <c r="AP434" s="11" t="s">
        <v>30</v>
      </c>
      <c r="AQ434" s="11" t="s">
        <v>31</v>
      </c>
      <c r="AR434" s="11" t="s">
        <v>36</v>
      </c>
      <c r="AS434" s="11" t="s">
        <v>55</v>
      </c>
      <c r="AT434" s="11" t="s">
        <v>33</v>
      </c>
      <c r="AU434" s="11" t="s">
        <v>34</v>
      </c>
      <c r="AV434" s="11" t="s">
        <v>50</v>
      </c>
      <c r="AW434" s="11" t="s">
        <v>60</v>
      </c>
    </row>
    <row r="435" spans="41:49" x14ac:dyDescent="0.25">
      <c r="AO435" s="11" t="s">
        <v>592</v>
      </c>
      <c r="AP435" s="11" t="s">
        <v>30</v>
      </c>
      <c r="AQ435" s="11" t="s">
        <v>31</v>
      </c>
      <c r="AR435" s="11" t="s">
        <v>36</v>
      </c>
      <c r="AS435" s="11" t="s">
        <v>55</v>
      </c>
      <c r="AT435" s="11" t="s">
        <v>46</v>
      </c>
      <c r="AU435" s="11" t="s">
        <v>34</v>
      </c>
      <c r="AV435" s="11" t="s">
        <v>50</v>
      </c>
      <c r="AW435" s="11" t="s">
        <v>60</v>
      </c>
    </row>
    <row r="436" spans="41:49" x14ac:dyDescent="0.25">
      <c r="AO436" s="11" t="s">
        <v>593</v>
      </c>
      <c r="AP436" s="11" t="s">
        <v>30</v>
      </c>
      <c r="AQ436" s="11" t="s">
        <v>33</v>
      </c>
      <c r="AR436" s="11" t="s">
        <v>36</v>
      </c>
      <c r="AS436" s="11" t="s">
        <v>55</v>
      </c>
      <c r="AT436" s="11" t="s">
        <v>46</v>
      </c>
      <c r="AU436" s="11" t="s">
        <v>34</v>
      </c>
      <c r="AV436" s="11" t="s">
        <v>50</v>
      </c>
      <c r="AW436" s="11" t="s">
        <v>60</v>
      </c>
    </row>
    <row r="437" spans="41:49" x14ac:dyDescent="0.25">
      <c r="AO437" s="11" t="s">
        <v>594</v>
      </c>
      <c r="AP437" s="11" t="s">
        <v>30</v>
      </c>
      <c r="AQ437" s="11" t="s">
        <v>31</v>
      </c>
      <c r="AR437" s="11" t="s">
        <v>35</v>
      </c>
      <c r="AS437" s="11" t="s">
        <v>55</v>
      </c>
      <c r="AT437" s="11" t="s">
        <v>33</v>
      </c>
      <c r="AU437" s="11" t="s">
        <v>34</v>
      </c>
      <c r="AV437" s="11" t="s">
        <v>50</v>
      </c>
      <c r="AW437" s="11" t="s">
        <v>46</v>
      </c>
    </row>
    <row r="438" spans="41:49" x14ac:dyDescent="0.25">
      <c r="AO438" s="11" t="s">
        <v>595</v>
      </c>
      <c r="AP438" s="11" t="s">
        <v>30</v>
      </c>
      <c r="AQ438" s="11" t="s">
        <v>31</v>
      </c>
      <c r="AR438" s="11" t="s">
        <v>35</v>
      </c>
      <c r="AS438" s="11" t="s">
        <v>33</v>
      </c>
      <c r="AT438" s="11" t="s">
        <v>46</v>
      </c>
      <c r="AU438" s="11" t="s">
        <v>34</v>
      </c>
      <c r="AV438" s="11" t="s">
        <v>50</v>
      </c>
      <c r="AW438" s="11" t="s">
        <v>60</v>
      </c>
    </row>
    <row r="439" spans="41:49" x14ac:dyDescent="0.25">
      <c r="AO439" s="11" t="s">
        <v>596</v>
      </c>
      <c r="AP439" s="11" t="s">
        <v>30</v>
      </c>
      <c r="AQ439" s="11" t="s">
        <v>31</v>
      </c>
      <c r="AR439" s="11" t="s">
        <v>35</v>
      </c>
      <c r="AS439" s="11" t="s">
        <v>55</v>
      </c>
      <c r="AT439" s="11" t="s">
        <v>33</v>
      </c>
      <c r="AU439" s="11" t="s">
        <v>34</v>
      </c>
      <c r="AV439" s="11" t="s">
        <v>46</v>
      </c>
      <c r="AW439" s="11" t="s">
        <v>60</v>
      </c>
    </row>
    <row r="440" spans="41:49" x14ac:dyDescent="0.25">
      <c r="AO440" s="11" t="s">
        <v>597</v>
      </c>
      <c r="AP440" s="11" t="s">
        <v>30</v>
      </c>
      <c r="AQ440" s="11" t="s">
        <v>31</v>
      </c>
      <c r="AR440" s="11" t="s">
        <v>35</v>
      </c>
      <c r="AS440" s="11" t="s">
        <v>55</v>
      </c>
      <c r="AT440" s="11" t="s">
        <v>33</v>
      </c>
      <c r="AU440" s="11" t="s">
        <v>34</v>
      </c>
      <c r="AV440" s="11" t="s">
        <v>50</v>
      </c>
      <c r="AW440" s="11" t="s">
        <v>60</v>
      </c>
    </row>
    <row r="441" spans="41:49" x14ac:dyDescent="0.25">
      <c r="AO441" s="11" t="s">
        <v>598</v>
      </c>
      <c r="AP441" s="11" t="s">
        <v>30</v>
      </c>
      <c r="AQ441" s="11" t="s">
        <v>31</v>
      </c>
      <c r="AR441" s="11" t="s">
        <v>35</v>
      </c>
      <c r="AS441" s="11" t="s">
        <v>55</v>
      </c>
      <c r="AT441" s="11" t="s">
        <v>46</v>
      </c>
      <c r="AU441" s="11" t="s">
        <v>34</v>
      </c>
      <c r="AV441" s="11" t="s">
        <v>50</v>
      </c>
      <c r="AW441" s="11" t="s">
        <v>60</v>
      </c>
    </row>
    <row r="442" spans="41:49" x14ac:dyDescent="0.25">
      <c r="AO442" s="11" t="s">
        <v>599</v>
      </c>
      <c r="AP442" s="11" t="s">
        <v>30</v>
      </c>
      <c r="AQ442" s="11" t="s">
        <v>35</v>
      </c>
      <c r="AR442" s="11" t="s">
        <v>33</v>
      </c>
      <c r="AS442" s="11" t="s">
        <v>55</v>
      </c>
      <c r="AT442" s="11" t="s">
        <v>46</v>
      </c>
      <c r="AU442" s="11" t="s">
        <v>34</v>
      </c>
      <c r="AV442" s="11" t="s">
        <v>50</v>
      </c>
      <c r="AW442" s="11" t="s">
        <v>60</v>
      </c>
    </row>
    <row r="443" spans="41:49" x14ac:dyDescent="0.25">
      <c r="AO443" s="11" t="s">
        <v>600</v>
      </c>
      <c r="AP443" s="11" t="s">
        <v>30</v>
      </c>
      <c r="AQ443" s="11" t="s">
        <v>31</v>
      </c>
      <c r="AR443" s="11" t="s">
        <v>33</v>
      </c>
      <c r="AS443" s="11" t="s">
        <v>55</v>
      </c>
      <c r="AT443" s="11" t="s">
        <v>46</v>
      </c>
      <c r="AU443" s="11" t="s">
        <v>34</v>
      </c>
      <c r="AV443" s="11" t="s">
        <v>50</v>
      </c>
      <c r="AW443" s="11" t="s">
        <v>60</v>
      </c>
    </row>
    <row r="444" spans="41:49" x14ac:dyDescent="0.25">
      <c r="AO444" s="11" t="s">
        <v>601</v>
      </c>
      <c r="AP444" s="11" t="s">
        <v>34</v>
      </c>
      <c r="AQ444" s="11" t="s">
        <v>31</v>
      </c>
      <c r="AR444" s="11" t="s">
        <v>36</v>
      </c>
      <c r="AS444" s="11" t="s">
        <v>55</v>
      </c>
      <c r="AT444" s="11" t="s">
        <v>33</v>
      </c>
      <c r="AU444" s="11" t="s">
        <v>46</v>
      </c>
      <c r="AV444" s="11" t="s">
        <v>35</v>
      </c>
      <c r="AW444" s="11" t="s">
        <v>50</v>
      </c>
    </row>
    <row r="445" spans="41:49" x14ac:dyDescent="0.25">
      <c r="AO445" s="11" t="s">
        <v>602</v>
      </c>
      <c r="AP445" s="11" t="s">
        <v>34</v>
      </c>
      <c r="AQ445" s="11" t="s">
        <v>31</v>
      </c>
      <c r="AR445" s="11" t="s">
        <v>36</v>
      </c>
      <c r="AS445" s="11" t="s">
        <v>33</v>
      </c>
      <c r="AT445" s="11" t="s">
        <v>46</v>
      </c>
      <c r="AU445" s="11" t="s">
        <v>35</v>
      </c>
      <c r="AV445" s="11" t="s">
        <v>50</v>
      </c>
      <c r="AW445" s="11" t="s">
        <v>60</v>
      </c>
    </row>
    <row r="446" spans="41:49" x14ac:dyDescent="0.25">
      <c r="AO446" s="11" t="s">
        <v>603</v>
      </c>
      <c r="AP446" s="11" t="s">
        <v>34</v>
      </c>
      <c r="AQ446" s="11" t="s">
        <v>31</v>
      </c>
      <c r="AR446" s="11" t="s">
        <v>36</v>
      </c>
      <c r="AS446" s="11" t="s">
        <v>55</v>
      </c>
      <c r="AT446" s="11" t="s">
        <v>33</v>
      </c>
      <c r="AU446" s="11" t="s">
        <v>46</v>
      </c>
      <c r="AV446" s="11" t="s">
        <v>35</v>
      </c>
      <c r="AW446" s="11" t="s">
        <v>60</v>
      </c>
    </row>
    <row r="447" spans="41:49" x14ac:dyDescent="0.25">
      <c r="AO447" s="11" t="s">
        <v>604</v>
      </c>
      <c r="AP447" s="11" t="s">
        <v>34</v>
      </c>
      <c r="AQ447" s="11" t="s">
        <v>31</v>
      </c>
      <c r="AR447" s="11" t="s">
        <v>36</v>
      </c>
      <c r="AS447" s="11" t="s">
        <v>55</v>
      </c>
      <c r="AT447" s="11" t="s">
        <v>33</v>
      </c>
      <c r="AU447" s="11" t="s">
        <v>35</v>
      </c>
      <c r="AV447" s="11" t="s">
        <v>50</v>
      </c>
      <c r="AW447" s="11" t="s">
        <v>60</v>
      </c>
    </row>
    <row r="448" spans="41:49" x14ac:dyDescent="0.25">
      <c r="AO448" s="11" t="s">
        <v>605</v>
      </c>
      <c r="AP448" s="11" t="s">
        <v>34</v>
      </c>
      <c r="AQ448" s="11" t="s">
        <v>31</v>
      </c>
      <c r="AR448" s="11" t="s">
        <v>36</v>
      </c>
      <c r="AS448" s="11" t="s">
        <v>55</v>
      </c>
      <c r="AT448" s="11" t="s">
        <v>46</v>
      </c>
      <c r="AU448" s="11" t="s">
        <v>35</v>
      </c>
      <c r="AV448" s="11" t="s">
        <v>50</v>
      </c>
      <c r="AW448" s="11" t="s">
        <v>60</v>
      </c>
    </row>
    <row r="449" spans="41:49" x14ac:dyDescent="0.25">
      <c r="AO449" s="11" t="s">
        <v>606</v>
      </c>
      <c r="AP449" s="11" t="s">
        <v>34</v>
      </c>
      <c r="AQ449" s="11" t="s">
        <v>35</v>
      </c>
      <c r="AR449" s="11" t="s">
        <v>36</v>
      </c>
      <c r="AS449" s="11" t="s">
        <v>55</v>
      </c>
      <c r="AT449" s="11" t="s">
        <v>33</v>
      </c>
      <c r="AU449" s="11" t="s">
        <v>46</v>
      </c>
      <c r="AV449" s="11" t="s">
        <v>50</v>
      </c>
      <c r="AW449" s="11" t="s">
        <v>60</v>
      </c>
    </row>
    <row r="450" spans="41:49" x14ac:dyDescent="0.25">
      <c r="AO450" s="11" t="s">
        <v>607</v>
      </c>
      <c r="AP450" s="11" t="s">
        <v>34</v>
      </c>
      <c r="AQ450" s="11" t="s">
        <v>31</v>
      </c>
      <c r="AR450" s="11" t="s">
        <v>36</v>
      </c>
      <c r="AS450" s="11" t="s">
        <v>55</v>
      </c>
      <c r="AT450" s="11" t="s">
        <v>33</v>
      </c>
      <c r="AU450" s="11" t="s">
        <v>46</v>
      </c>
      <c r="AV450" s="11" t="s">
        <v>50</v>
      </c>
      <c r="AW450" s="11" t="s">
        <v>60</v>
      </c>
    </row>
    <row r="451" spans="41:49" x14ac:dyDescent="0.25">
      <c r="AO451" s="11" t="s">
        <v>608</v>
      </c>
      <c r="AP451" s="11" t="s">
        <v>34</v>
      </c>
      <c r="AQ451" s="11" t="s">
        <v>31</v>
      </c>
      <c r="AR451" s="11" t="s">
        <v>35</v>
      </c>
      <c r="AS451" s="11" t="s">
        <v>55</v>
      </c>
      <c r="AT451" s="11" t="s">
        <v>33</v>
      </c>
      <c r="AU451" s="11" t="s">
        <v>46</v>
      </c>
      <c r="AV451" s="11" t="s">
        <v>50</v>
      </c>
      <c r="AW451" s="11" t="s">
        <v>60</v>
      </c>
    </row>
    <row r="452" spans="41:49" x14ac:dyDescent="0.25">
      <c r="AO452" s="11" t="s">
        <v>609</v>
      </c>
      <c r="AP452" s="11" t="s">
        <v>30</v>
      </c>
      <c r="AQ452" s="11" t="s">
        <v>31</v>
      </c>
      <c r="AR452" s="11" t="s">
        <v>32</v>
      </c>
      <c r="AS452" s="11" t="s">
        <v>36</v>
      </c>
      <c r="AT452" s="11" t="s">
        <v>33</v>
      </c>
      <c r="AU452" s="11" t="s">
        <v>46</v>
      </c>
      <c r="AV452" s="11" t="s">
        <v>35</v>
      </c>
      <c r="AW452" s="11" t="s">
        <v>50</v>
      </c>
    </row>
    <row r="453" spans="41:49" x14ac:dyDescent="0.25">
      <c r="AO453" s="11" t="s">
        <v>610</v>
      </c>
      <c r="AP453" s="11" t="s">
        <v>30</v>
      </c>
      <c r="AQ453" s="11" t="s">
        <v>31</v>
      </c>
      <c r="AR453" s="11" t="s">
        <v>32</v>
      </c>
      <c r="AS453" s="11" t="s">
        <v>55</v>
      </c>
      <c r="AT453" s="11" t="s">
        <v>33</v>
      </c>
      <c r="AU453" s="11" t="s">
        <v>46</v>
      </c>
      <c r="AV453" s="11" t="s">
        <v>35</v>
      </c>
      <c r="AW453" s="11" t="s">
        <v>36</v>
      </c>
    </row>
    <row r="454" spans="41:49" x14ac:dyDescent="0.25">
      <c r="AO454" s="11" t="s">
        <v>611</v>
      </c>
      <c r="AP454" s="11" t="s">
        <v>30</v>
      </c>
      <c r="AQ454" s="11" t="s">
        <v>31</v>
      </c>
      <c r="AR454" s="11" t="s">
        <v>32</v>
      </c>
      <c r="AS454" s="11" t="s">
        <v>36</v>
      </c>
      <c r="AT454" s="11" t="s">
        <v>33</v>
      </c>
      <c r="AU454" s="11" t="s">
        <v>46</v>
      </c>
      <c r="AV454" s="11" t="s">
        <v>35</v>
      </c>
      <c r="AW454" s="11" t="s">
        <v>60</v>
      </c>
    </row>
    <row r="455" spans="41:49" x14ac:dyDescent="0.25">
      <c r="AO455" s="11" t="s">
        <v>612</v>
      </c>
      <c r="AP455" s="11" t="s">
        <v>30</v>
      </c>
      <c r="AQ455" s="11" t="s">
        <v>31</v>
      </c>
      <c r="AR455" s="11" t="s">
        <v>32</v>
      </c>
      <c r="AS455" s="11" t="s">
        <v>55</v>
      </c>
      <c r="AT455" s="11" t="s">
        <v>33</v>
      </c>
      <c r="AU455" s="11" t="s">
        <v>36</v>
      </c>
      <c r="AV455" s="11" t="s">
        <v>35</v>
      </c>
      <c r="AW455" s="11" t="s">
        <v>50</v>
      </c>
    </row>
    <row r="456" spans="41:49" x14ac:dyDescent="0.25">
      <c r="AO456" s="11" t="s">
        <v>613</v>
      </c>
      <c r="AP456" s="11" t="s">
        <v>30</v>
      </c>
      <c r="AQ456" s="11" t="s">
        <v>31</v>
      </c>
      <c r="AR456" s="11" t="s">
        <v>32</v>
      </c>
      <c r="AS456" s="11" t="s">
        <v>36</v>
      </c>
      <c r="AT456" s="11" t="s">
        <v>33</v>
      </c>
      <c r="AU456" s="11" t="s">
        <v>35</v>
      </c>
      <c r="AV456" s="11" t="s">
        <v>50</v>
      </c>
      <c r="AW456" s="11" t="s">
        <v>60</v>
      </c>
    </row>
    <row r="457" spans="41:49" x14ac:dyDescent="0.25">
      <c r="AO457" s="11" t="s">
        <v>614</v>
      </c>
      <c r="AP457" s="11" t="s">
        <v>30</v>
      </c>
      <c r="AQ457" s="11" t="s">
        <v>31</v>
      </c>
      <c r="AR457" s="11" t="s">
        <v>32</v>
      </c>
      <c r="AS457" s="11" t="s">
        <v>55</v>
      </c>
      <c r="AT457" s="11" t="s">
        <v>33</v>
      </c>
      <c r="AU457" s="11" t="s">
        <v>36</v>
      </c>
      <c r="AV457" s="11" t="s">
        <v>35</v>
      </c>
      <c r="AW457" s="11" t="s">
        <v>60</v>
      </c>
    </row>
    <row r="458" spans="41:49" x14ac:dyDescent="0.25">
      <c r="AO458" s="11" t="s">
        <v>615</v>
      </c>
      <c r="AP458" s="11" t="s">
        <v>30</v>
      </c>
      <c r="AQ458" s="11" t="s">
        <v>31</v>
      </c>
      <c r="AR458" s="11" t="s">
        <v>32</v>
      </c>
      <c r="AS458" s="11" t="s">
        <v>55</v>
      </c>
      <c r="AT458" s="11" t="s">
        <v>36</v>
      </c>
      <c r="AU458" s="11" t="s">
        <v>46</v>
      </c>
      <c r="AV458" s="11" t="s">
        <v>35</v>
      </c>
      <c r="AW458" s="11" t="s">
        <v>50</v>
      </c>
    </row>
    <row r="459" spans="41:49" x14ac:dyDescent="0.25">
      <c r="AO459" s="11" t="s">
        <v>616</v>
      </c>
      <c r="AP459" s="11" t="s">
        <v>30</v>
      </c>
      <c r="AQ459" s="11" t="s">
        <v>31</v>
      </c>
      <c r="AR459" s="11" t="s">
        <v>32</v>
      </c>
      <c r="AS459" s="11" t="s">
        <v>36</v>
      </c>
      <c r="AT459" s="11" t="s">
        <v>46</v>
      </c>
      <c r="AU459" s="11" t="s">
        <v>35</v>
      </c>
      <c r="AV459" s="11" t="s">
        <v>50</v>
      </c>
      <c r="AW459" s="11" t="s">
        <v>60</v>
      </c>
    </row>
    <row r="460" spans="41:49" x14ac:dyDescent="0.25">
      <c r="AO460" s="11" t="s">
        <v>617</v>
      </c>
      <c r="AP460" s="11" t="s">
        <v>30</v>
      </c>
      <c r="AQ460" s="11" t="s">
        <v>31</v>
      </c>
      <c r="AR460" s="11" t="s">
        <v>32</v>
      </c>
      <c r="AS460" s="11" t="s">
        <v>55</v>
      </c>
      <c r="AT460" s="11" t="s">
        <v>36</v>
      </c>
      <c r="AU460" s="11" t="s">
        <v>46</v>
      </c>
      <c r="AV460" s="11" t="s">
        <v>35</v>
      </c>
      <c r="AW460" s="11" t="s">
        <v>60</v>
      </c>
    </row>
    <row r="461" spans="41:49" x14ac:dyDescent="0.25">
      <c r="AO461" s="11" t="s">
        <v>618</v>
      </c>
      <c r="AP461" s="11" t="s">
        <v>30</v>
      </c>
      <c r="AQ461" s="11" t="s">
        <v>31</v>
      </c>
      <c r="AR461" s="11" t="s">
        <v>32</v>
      </c>
      <c r="AS461" s="11" t="s">
        <v>55</v>
      </c>
      <c r="AT461" s="11" t="s">
        <v>36</v>
      </c>
      <c r="AU461" s="11" t="s">
        <v>35</v>
      </c>
      <c r="AV461" s="11" t="s">
        <v>50</v>
      </c>
      <c r="AW461" s="11" t="s">
        <v>60</v>
      </c>
    </row>
    <row r="462" spans="41:49" x14ac:dyDescent="0.25">
      <c r="AO462" s="11" t="s">
        <v>619</v>
      </c>
      <c r="AP462" s="11" t="s">
        <v>30</v>
      </c>
      <c r="AQ462" s="11" t="s">
        <v>32</v>
      </c>
      <c r="AR462" s="11" t="s">
        <v>36</v>
      </c>
      <c r="AS462" s="11" t="s">
        <v>55</v>
      </c>
      <c r="AT462" s="11" t="s">
        <v>33</v>
      </c>
      <c r="AU462" s="11" t="s">
        <v>46</v>
      </c>
      <c r="AV462" s="11" t="s">
        <v>35</v>
      </c>
      <c r="AW462" s="11" t="s">
        <v>50</v>
      </c>
    </row>
    <row r="463" spans="41:49" x14ac:dyDescent="0.25">
      <c r="AO463" s="11" t="s">
        <v>620</v>
      </c>
      <c r="AP463" s="11" t="s">
        <v>30</v>
      </c>
      <c r="AQ463" s="11" t="s">
        <v>32</v>
      </c>
      <c r="AR463" s="11" t="s">
        <v>36</v>
      </c>
      <c r="AS463" s="11" t="s">
        <v>33</v>
      </c>
      <c r="AT463" s="11" t="s">
        <v>46</v>
      </c>
      <c r="AU463" s="11" t="s">
        <v>35</v>
      </c>
      <c r="AV463" s="11" t="s">
        <v>50</v>
      </c>
      <c r="AW463" s="11" t="s">
        <v>60</v>
      </c>
    </row>
    <row r="464" spans="41:49" x14ac:dyDescent="0.25">
      <c r="AO464" s="11" t="s">
        <v>621</v>
      </c>
      <c r="AP464" s="11" t="s">
        <v>30</v>
      </c>
      <c r="AQ464" s="11" t="s">
        <v>32</v>
      </c>
      <c r="AR464" s="11" t="s">
        <v>36</v>
      </c>
      <c r="AS464" s="11" t="s">
        <v>55</v>
      </c>
      <c r="AT464" s="11" t="s">
        <v>33</v>
      </c>
      <c r="AU464" s="11" t="s">
        <v>46</v>
      </c>
      <c r="AV464" s="11" t="s">
        <v>35</v>
      </c>
      <c r="AW464" s="11" t="s">
        <v>60</v>
      </c>
    </row>
    <row r="465" spans="41:49" x14ac:dyDescent="0.25">
      <c r="AO465" s="11" t="s">
        <v>622</v>
      </c>
      <c r="AP465" s="11" t="s">
        <v>30</v>
      </c>
      <c r="AQ465" s="11" t="s">
        <v>32</v>
      </c>
      <c r="AR465" s="11" t="s">
        <v>36</v>
      </c>
      <c r="AS465" s="11" t="s">
        <v>55</v>
      </c>
      <c r="AT465" s="11" t="s">
        <v>33</v>
      </c>
      <c r="AU465" s="11" t="s">
        <v>35</v>
      </c>
      <c r="AV465" s="11" t="s">
        <v>50</v>
      </c>
      <c r="AW465" s="11" t="s">
        <v>60</v>
      </c>
    </row>
    <row r="466" spans="41:49" x14ac:dyDescent="0.25">
      <c r="AO466" s="11" t="s">
        <v>623</v>
      </c>
      <c r="AP466" s="11" t="s">
        <v>30</v>
      </c>
      <c r="AQ466" s="11" t="s">
        <v>32</v>
      </c>
      <c r="AR466" s="11" t="s">
        <v>36</v>
      </c>
      <c r="AS466" s="11" t="s">
        <v>55</v>
      </c>
      <c r="AT466" s="11" t="s">
        <v>46</v>
      </c>
      <c r="AU466" s="11" t="s">
        <v>35</v>
      </c>
      <c r="AV466" s="11" t="s">
        <v>50</v>
      </c>
      <c r="AW466" s="11" t="s">
        <v>60</v>
      </c>
    </row>
    <row r="467" spans="41:49" x14ac:dyDescent="0.25">
      <c r="AO467" s="11" t="s">
        <v>624</v>
      </c>
      <c r="AP467" s="11" t="s">
        <v>30</v>
      </c>
      <c r="AQ467" s="11" t="s">
        <v>31</v>
      </c>
      <c r="AR467" s="11" t="s">
        <v>32</v>
      </c>
      <c r="AS467" s="11" t="s">
        <v>55</v>
      </c>
      <c r="AT467" s="11" t="s">
        <v>33</v>
      </c>
      <c r="AU467" s="11" t="s">
        <v>46</v>
      </c>
      <c r="AV467" s="11" t="s">
        <v>50</v>
      </c>
      <c r="AW467" s="11" t="s">
        <v>36</v>
      </c>
    </row>
    <row r="468" spans="41:49" x14ac:dyDescent="0.25">
      <c r="AO468" s="11" t="s">
        <v>625</v>
      </c>
      <c r="AP468" s="11" t="s">
        <v>30</v>
      </c>
      <c r="AQ468" s="11" t="s">
        <v>31</v>
      </c>
      <c r="AR468" s="11" t="s">
        <v>32</v>
      </c>
      <c r="AS468" s="11" t="s">
        <v>36</v>
      </c>
      <c r="AT468" s="11" t="s">
        <v>33</v>
      </c>
      <c r="AU468" s="11" t="s">
        <v>46</v>
      </c>
      <c r="AV468" s="11" t="s">
        <v>50</v>
      </c>
      <c r="AW468" s="11" t="s">
        <v>60</v>
      </c>
    </row>
    <row r="469" spans="41:49" x14ac:dyDescent="0.25">
      <c r="AO469" s="11" t="s">
        <v>626</v>
      </c>
      <c r="AP469" s="11" t="s">
        <v>30</v>
      </c>
      <c r="AQ469" s="11" t="s">
        <v>31</v>
      </c>
      <c r="AR469" s="11" t="s">
        <v>32</v>
      </c>
      <c r="AS469" s="11" t="s">
        <v>55</v>
      </c>
      <c r="AT469" s="11" t="s">
        <v>33</v>
      </c>
      <c r="AU469" s="11" t="s">
        <v>46</v>
      </c>
      <c r="AV469" s="11" t="s">
        <v>36</v>
      </c>
      <c r="AW469" s="11" t="s">
        <v>60</v>
      </c>
    </row>
    <row r="470" spans="41:49" x14ac:dyDescent="0.25">
      <c r="AO470" s="11" t="s">
        <v>627</v>
      </c>
      <c r="AP470" s="11" t="s">
        <v>30</v>
      </c>
      <c r="AQ470" s="11" t="s">
        <v>31</v>
      </c>
      <c r="AR470" s="11" t="s">
        <v>32</v>
      </c>
      <c r="AS470" s="11" t="s">
        <v>55</v>
      </c>
      <c r="AT470" s="11" t="s">
        <v>33</v>
      </c>
      <c r="AU470" s="11" t="s">
        <v>36</v>
      </c>
      <c r="AV470" s="11" t="s">
        <v>50</v>
      </c>
      <c r="AW470" s="11" t="s">
        <v>60</v>
      </c>
    </row>
    <row r="471" spans="41:49" x14ac:dyDescent="0.25">
      <c r="AO471" s="11" t="s">
        <v>628</v>
      </c>
      <c r="AP471" s="11" t="s">
        <v>30</v>
      </c>
      <c r="AQ471" s="11" t="s">
        <v>31</v>
      </c>
      <c r="AR471" s="11" t="s">
        <v>32</v>
      </c>
      <c r="AS471" s="11" t="s">
        <v>55</v>
      </c>
      <c r="AT471" s="11" t="s">
        <v>36</v>
      </c>
      <c r="AU471" s="11" t="s">
        <v>46</v>
      </c>
      <c r="AV471" s="11" t="s">
        <v>50</v>
      </c>
      <c r="AW471" s="11" t="s">
        <v>60</v>
      </c>
    </row>
    <row r="472" spans="41:49" x14ac:dyDescent="0.25">
      <c r="AO472" s="11" t="s">
        <v>629</v>
      </c>
      <c r="AP472" s="11" t="s">
        <v>30</v>
      </c>
      <c r="AQ472" s="11" t="s">
        <v>32</v>
      </c>
      <c r="AR472" s="11" t="s">
        <v>36</v>
      </c>
      <c r="AS472" s="11" t="s">
        <v>55</v>
      </c>
      <c r="AT472" s="11" t="s">
        <v>33</v>
      </c>
      <c r="AU472" s="11" t="s">
        <v>46</v>
      </c>
      <c r="AV472" s="11" t="s">
        <v>50</v>
      </c>
      <c r="AW472" s="11" t="s">
        <v>60</v>
      </c>
    </row>
    <row r="473" spans="41:49" x14ac:dyDescent="0.25">
      <c r="AO473" s="11" t="s">
        <v>630</v>
      </c>
      <c r="AP473" s="11" t="s">
        <v>30</v>
      </c>
      <c r="AQ473" s="11" t="s">
        <v>31</v>
      </c>
      <c r="AR473" s="11" t="s">
        <v>32</v>
      </c>
      <c r="AS473" s="11" t="s">
        <v>55</v>
      </c>
      <c r="AT473" s="11" t="s">
        <v>33</v>
      </c>
      <c r="AU473" s="11" t="s">
        <v>46</v>
      </c>
      <c r="AV473" s="11" t="s">
        <v>35</v>
      </c>
      <c r="AW473" s="11" t="s">
        <v>50</v>
      </c>
    </row>
    <row r="474" spans="41:49" x14ac:dyDescent="0.25">
      <c r="AO474" s="11" t="s">
        <v>631</v>
      </c>
      <c r="AP474" s="11" t="s">
        <v>30</v>
      </c>
      <c r="AQ474" s="11" t="s">
        <v>31</v>
      </c>
      <c r="AR474" s="11" t="s">
        <v>32</v>
      </c>
      <c r="AS474" s="11" t="s">
        <v>33</v>
      </c>
      <c r="AT474" s="11" t="s">
        <v>46</v>
      </c>
      <c r="AU474" s="11" t="s">
        <v>35</v>
      </c>
      <c r="AV474" s="11" t="s">
        <v>50</v>
      </c>
      <c r="AW474" s="11" t="s">
        <v>60</v>
      </c>
    </row>
    <row r="475" spans="41:49" x14ac:dyDescent="0.25">
      <c r="AO475" s="11" t="s">
        <v>632</v>
      </c>
      <c r="AP475" s="11" t="s">
        <v>30</v>
      </c>
      <c r="AQ475" s="11" t="s">
        <v>31</v>
      </c>
      <c r="AR475" s="11" t="s">
        <v>32</v>
      </c>
      <c r="AS475" s="11" t="s">
        <v>55</v>
      </c>
      <c r="AT475" s="11" t="s">
        <v>33</v>
      </c>
      <c r="AU475" s="11" t="s">
        <v>46</v>
      </c>
      <c r="AV475" s="11" t="s">
        <v>35</v>
      </c>
      <c r="AW475" s="11" t="s">
        <v>60</v>
      </c>
    </row>
    <row r="476" spans="41:49" x14ac:dyDescent="0.25">
      <c r="AO476" s="11" t="s">
        <v>633</v>
      </c>
      <c r="AP476" s="11" t="s">
        <v>30</v>
      </c>
      <c r="AQ476" s="11" t="s">
        <v>31</v>
      </c>
      <c r="AR476" s="11" t="s">
        <v>32</v>
      </c>
      <c r="AS476" s="11" t="s">
        <v>55</v>
      </c>
      <c r="AT476" s="11" t="s">
        <v>33</v>
      </c>
      <c r="AU476" s="11" t="s">
        <v>35</v>
      </c>
      <c r="AV476" s="11" t="s">
        <v>50</v>
      </c>
      <c r="AW476" s="11" t="s">
        <v>60</v>
      </c>
    </row>
    <row r="477" spans="41:49" x14ac:dyDescent="0.25">
      <c r="AO477" s="11" t="s">
        <v>634</v>
      </c>
      <c r="AP477" s="11" t="s">
        <v>30</v>
      </c>
      <c r="AQ477" s="11" t="s">
        <v>31</v>
      </c>
      <c r="AR477" s="11" t="s">
        <v>32</v>
      </c>
      <c r="AS477" s="11" t="s">
        <v>55</v>
      </c>
      <c r="AT477" s="11" t="s">
        <v>46</v>
      </c>
      <c r="AU477" s="11" t="s">
        <v>35</v>
      </c>
      <c r="AV477" s="11" t="s">
        <v>50</v>
      </c>
      <c r="AW477" s="11" t="s">
        <v>60</v>
      </c>
    </row>
    <row r="478" spans="41:49" x14ac:dyDescent="0.25">
      <c r="AO478" s="11" t="s">
        <v>635</v>
      </c>
      <c r="AP478" s="11" t="s">
        <v>30</v>
      </c>
      <c r="AQ478" s="11" t="s">
        <v>32</v>
      </c>
      <c r="AR478" s="11" t="s">
        <v>35</v>
      </c>
      <c r="AS478" s="11" t="s">
        <v>55</v>
      </c>
      <c r="AT478" s="11" t="s">
        <v>33</v>
      </c>
      <c r="AU478" s="11" t="s">
        <v>46</v>
      </c>
      <c r="AV478" s="11" t="s">
        <v>50</v>
      </c>
      <c r="AW478" s="11" t="s">
        <v>60</v>
      </c>
    </row>
    <row r="479" spans="41:49" x14ac:dyDescent="0.25">
      <c r="AO479" s="11" t="s">
        <v>636</v>
      </c>
      <c r="AP479" s="11" t="s">
        <v>30</v>
      </c>
      <c r="AQ479" s="11" t="s">
        <v>31</v>
      </c>
      <c r="AR479" s="11" t="s">
        <v>32</v>
      </c>
      <c r="AS479" s="11" t="s">
        <v>55</v>
      </c>
      <c r="AT479" s="11" t="s">
        <v>33</v>
      </c>
      <c r="AU479" s="11" t="s">
        <v>46</v>
      </c>
      <c r="AV479" s="11" t="s">
        <v>50</v>
      </c>
      <c r="AW479" s="11" t="s">
        <v>60</v>
      </c>
    </row>
    <row r="480" spans="41:49" x14ac:dyDescent="0.25">
      <c r="AO480" s="11" t="s">
        <v>637</v>
      </c>
      <c r="AP480" s="11" t="s">
        <v>32</v>
      </c>
      <c r="AQ480" s="11" t="s">
        <v>31</v>
      </c>
      <c r="AR480" s="11" t="s">
        <v>36</v>
      </c>
      <c r="AS480" s="11" t="s">
        <v>55</v>
      </c>
      <c r="AT480" s="11" t="s">
        <v>33</v>
      </c>
      <c r="AU480" s="11" t="s">
        <v>46</v>
      </c>
      <c r="AV480" s="11" t="s">
        <v>35</v>
      </c>
      <c r="AW480" s="11" t="s">
        <v>50</v>
      </c>
    </row>
    <row r="481" spans="41:49" x14ac:dyDescent="0.25">
      <c r="AO481" s="11" t="s">
        <v>638</v>
      </c>
      <c r="AP481" s="11" t="s">
        <v>32</v>
      </c>
      <c r="AQ481" s="11" t="s">
        <v>31</v>
      </c>
      <c r="AR481" s="11" t="s">
        <v>36</v>
      </c>
      <c r="AS481" s="11" t="s">
        <v>33</v>
      </c>
      <c r="AT481" s="11" t="s">
        <v>46</v>
      </c>
      <c r="AU481" s="11" t="s">
        <v>35</v>
      </c>
      <c r="AV481" s="11" t="s">
        <v>50</v>
      </c>
      <c r="AW481" s="11" t="s">
        <v>60</v>
      </c>
    </row>
    <row r="482" spans="41:49" x14ac:dyDescent="0.25">
      <c r="AO482" s="11" t="s">
        <v>639</v>
      </c>
      <c r="AP482" s="11" t="s">
        <v>32</v>
      </c>
      <c r="AQ482" s="11" t="s">
        <v>31</v>
      </c>
      <c r="AR482" s="11" t="s">
        <v>36</v>
      </c>
      <c r="AS482" s="11" t="s">
        <v>55</v>
      </c>
      <c r="AT482" s="11" t="s">
        <v>33</v>
      </c>
      <c r="AU482" s="11" t="s">
        <v>46</v>
      </c>
      <c r="AV482" s="11" t="s">
        <v>35</v>
      </c>
      <c r="AW482" s="11" t="s">
        <v>60</v>
      </c>
    </row>
    <row r="483" spans="41:49" x14ac:dyDescent="0.25">
      <c r="AO483" s="11" t="s">
        <v>640</v>
      </c>
      <c r="AP483" s="11" t="s">
        <v>32</v>
      </c>
      <c r="AQ483" s="11" t="s">
        <v>31</v>
      </c>
      <c r="AR483" s="11" t="s">
        <v>36</v>
      </c>
      <c r="AS483" s="11" t="s">
        <v>55</v>
      </c>
      <c r="AT483" s="11" t="s">
        <v>33</v>
      </c>
      <c r="AU483" s="11" t="s">
        <v>35</v>
      </c>
      <c r="AV483" s="11" t="s">
        <v>50</v>
      </c>
      <c r="AW483" s="11" t="s">
        <v>60</v>
      </c>
    </row>
    <row r="484" spans="41:49" x14ac:dyDescent="0.25">
      <c r="AO484" s="11" t="s">
        <v>641</v>
      </c>
      <c r="AP484" s="11" t="s">
        <v>32</v>
      </c>
      <c r="AQ484" s="11" t="s">
        <v>31</v>
      </c>
      <c r="AR484" s="11" t="s">
        <v>36</v>
      </c>
      <c r="AS484" s="11" t="s">
        <v>55</v>
      </c>
      <c r="AT484" s="11" t="s">
        <v>46</v>
      </c>
      <c r="AU484" s="11" t="s">
        <v>35</v>
      </c>
      <c r="AV484" s="11" t="s">
        <v>50</v>
      </c>
      <c r="AW484" s="11" t="s">
        <v>60</v>
      </c>
    </row>
    <row r="485" spans="41:49" x14ac:dyDescent="0.25">
      <c r="AO485" s="11" t="s">
        <v>642</v>
      </c>
      <c r="AP485" s="11" t="s">
        <v>32</v>
      </c>
      <c r="AQ485" s="11" t="s">
        <v>35</v>
      </c>
      <c r="AR485" s="11" t="s">
        <v>36</v>
      </c>
      <c r="AS485" s="11" t="s">
        <v>55</v>
      </c>
      <c r="AT485" s="11" t="s">
        <v>33</v>
      </c>
      <c r="AU485" s="11" t="s">
        <v>46</v>
      </c>
      <c r="AV485" s="11" t="s">
        <v>50</v>
      </c>
      <c r="AW485" s="11" t="s">
        <v>60</v>
      </c>
    </row>
    <row r="486" spans="41:49" x14ac:dyDescent="0.25">
      <c r="AO486" s="11" t="s">
        <v>643</v>
      </c>
      <c r="AP486" s="11" t="s">
        <v>32</v>
      </c>
      <c r="AQ486" s="11" t="s">
        <v>31</v>
      </c>
      <c r="AR486" s="11" t="s">
        <v>36</v>
      </c>
      <c r="AS486" s="11" t="s">
        <v>55</v>
      </c>
      <c r="AT486" s="11" t="s">
        <v>33</v>
      </c>
      <c r="AU486" s="11" t="s">
        <v>46</v>
      </c>
      <c r="AV486" s="11" t="s">
        <v>50</v>
      </c>
      <c r="AW486" s="11" t="s">
        <v>60</v>
      </c>
    </row>
    <row r="487" spans="41:49" x14ac:dyDescent="0.25">
      <c r="AO487" s="11" t="s">
        <v>644</v>
      </c>
      <c r="AP487" s="11" t="s">
        <v>32</v>
      </c>
      <c r="AQ487" s="11" t="s">
        <v>31</v>
      </c>
      <c r="AR487" s="11" t="s">
        <v>35</v>
      </c>
      <c r="AS487" s="11" t="s">
        <v>55</v>
      </c>
      <c r="AT487" s="11" t="s">
        <v>33</v>
      </c>
      <c r="AU487" s="11" t="s">
        <v>46</v>
      </c>
      <c r="AV487" s="11" t="s">
        <v>50</v>
      </c>
      <c r="AW487" s="11" t="s">
        <v>60</v>
      </c>
    </row>
    <row r="488" spans="41:49" x14ac:dyDescent="0.25">
      <c r="AO488" s="11" t="s">
        <v>645</v>
      </c>
      <c r="AP488" s="11" t="s">
        <v>30</v>
      </c>
      <c r="AQ488" s="11" t="s">
        <v>31</v>
      </c>
      <c r="AR488" s="11" t="s">
        <v>36</v>
      </c>
      <c r="AS488" s="11" t="s">
        <v>55</v>
      </c>
      <c r="AT488" s="11" t="s">
        <v>33</v>
      </c>
      <c r="AU488" s="11" t="s">
        <v>46</v>
      </c>
      <c r="AV488" s="11" t="s">
        <v>35</v>
      </c>
      <c r="AW488" s="11" t="s">
        <v>50</v>
      </c>
    </row>
    <row r="489" spans="41:49" x14ac:dyDescent="0.25">
      <c r="AO489" s="11" t="s">
        <v>646</v>
      </c>
      <c r="AP489" s="11" t="s">
        <v>30</v>
      </c>
      <c r="AQ489" s="11" t="s">
        <v>31</v>
      </c>
      <c r="AR489" s="11" t="s">
        <v>36</v>
      </c>
      <c r="AS489" s="11" t="s">
        <v>33</v>
      </c>
      <c r="AT489" s="11" t="s">
        <v>46</v>
      </c>
      <c r="AU489" s="11" t="s">
        <v>35</v>
      </c>
      <c r="AV489" s="11" t="s">
        <v>50</v>
      </c>
      <c r="AW489" s="11" t="s">
        <v>60</v>
      </c>
    </row>
    <row r="490" spans="41:49" x14ac:dyDescent="0.25">
      <c r="AO490" s="11" t="s">
        <v>647</v>
      </c>
      <c r="AP490" s="11" t="s">
        <v>30</v>
      </c>
      <c r="AQ490" s="11" t="s">
        <v>31</v>
      </c>
      <c r="AR490" s="11" t="s">
        <v>36</v>
      </c>
      <c r="AS490" s="11" t="s">
        <v>55</v>
      </c>
      <c r="AT490" s="11" t="s">
        <v>33</v>
      </c>
      <c r="AU490" s="11" t="s">
        <v>46</v>
      </c>
      <c r="AV490" s="11" t="s">
        <v>35</v>
      </c>
      <c r="AW490" s="11" t="s">
        <v>60</v>
      </c>
    </row>
    <row r="491" spans="41:49" x14ac:dyDescent="0.25">
      <c r="AO491" s="11" t="s">
        <v>648</v>
      </c>
      <c r="AP491" s="11" t="s">
        <v>30</v>
      </c>
      <c r="AQ491" s="11" t="s">
        <v>31</v>
      </c>
      <c r="AR491" s="11" t="s">
        <v>36</v>
      </c>
      <c r="AS491" s="11" t="s">
        <v>55</v>
      </c>
      <c r="AT491" s="11" t="s">
        <v>33</v>
      </c>
      <c r="AU491" s="11" t="s">
        <v>35</v>
      </c>
      <c r="AV491" s="11" t="s">
        <v>50</v>
      </c>
      <c r="AW491" s="11" t="s">
        <v>60</v>
      </c>
    </row>
    <row r="492" spans="41:49" x14ac:dyDescent="0.25">
      <c r="AO492" s="11" t="s">
        <v>649</v>
      </c>
      <c r="AP492" s="11" t="s">
        <v>30</v>
      </c>
      <c r="AQ492" s="11" t="s">
        <v>31</v>
      </c>
      <c r="AR492" s="11" t="s">
        <v>36</v>
      </c>
      <c r="AS492" s="11" t="s">
        <v>55</v>
      </c>
      <c r="AT492" s="11" t="s">
        <v>46</v>
      </c>
      <c r="AU492" s="11" t="s">
        <v>35</v>
      </c>
      <c r="AV492" s="11" t="s">
        <v>50</v>
      </c>
      <c r="AW492" s="11" t="s">
        <v>60</v>
      </c>
    </row>
    <row r="493" spans="41:49" x14ac:dyDescent="0.25">
      <c r="AO493" s="11" t="s">
        <v>650</v>
      </c>
      <c r="AP493" s="11" t="s">
        <v>30</v>
      </c>
      <c r="AQ493" s="11" t="s">
        <v>35</v>
      </c>
      <c r="AR493" s="11" t="s">
        <v>36</v>
      </c>
      <c r="AS493" s="11" t="s">
        <v>55</v>
      </c>
      <c r="AT493" s="11" t="s">
        <v>33</v>
      </c>
      <c r="AU493" s="11" t="s">
        <v>46</v>
      </c>
      <c r="AV493" s="11" t="s">
        <v>50</v>
      </c>
      <c r="AW493" s="11" t="s">
        <v>60</v>
      </c>
    </row>
    <row r="494" spans="41:49" x14ac:dyDescent="0.25">
      <c r="AO494" s="11" t="s">
        <v>651</v>
      </c>
      <c r="AP494" s="11" t="s">
        <v>30</v>
      </c>
      <c r="AQ494" s="11" t="s">
        <v>31</v>
      </c>
      <c r="AR494" s="11" t="s">
        <v>36</v>
      </c>
      <c r="AS494" s="11" t="s">
        <v>55</v>
      </c>
      <c r="AT494" s="11" t="s">
        <v>33</v>
      </c>
      <c r="AU494" s="11" t="s">
        <v>46</v>
      </c>
      <c r="AV494" s="11" t="s">
        <v>50</v>
      </c>
      <c r="AW494" s="11" t="s">
        <v>60</v>
      </c>
    </row>
    <row r="495" spans="41:49" x14ac:dyDescent="0.25">
      <c r="AO495" s="11" t="s">
        <v>652</v>
      </c>
      <c r="AP495" s="11" t="s">
        <v>30</v>
      </c>
      <c r="AQ495" s="11" t="s">
        <v>31</v>
      </c>
      <c r="AR495" s="11" t="s">
        <v>35</v>
      </c>
      <c r="AS495" s="11" t="s">
        <v>55</v>
      </c>
      <c r="AT495" s="11" t="s">
        <v>33</v>
      </c>
      <c r="AU495" s="11" t="s">
        <v>46</v>
      </c>
      <c r="AV495" s="11" t="s">
        <v>50</v>
      </c>
      <c r="AW495" s="11" t="s">
        <v>60</v>
      </c>
    </row>
    <row r="496" spans="41:49" x14ac:dyDescent="0.25">
      <c r="AO496" s="11" t="s">
        <v>653</v>
      </c>
      <c r="AP496" s="11" t="s">
        <v>35</v>
      </c>
      <c r="AQ496" s="11" t="s">
        <v>31</v>
      </c>
      <c r="AR496" s="11" t="s">
        <v>36</v>
      </c>
      <c r="AS496" s="11" t="s">
        <v>55</v>
      </c>
      <c r="AT496" s="11" t="s">
        <v>33</v>
      </c>
      <c r="AU496" s="11" t="s">
        <v>46</v>
      </c>
      <c r="AV496" s="11" t="s">
        <v>50</v>
      </c>
      <c r="AW496" s="11" t="s">
        <v>60</v>
      </c>
    </row>
  </sheetData>
  <mergeCells count="34">
    <mergeCell ref="A1:M1"/>
    <mergeCell ref="A2:A5"/>
    <mergeCell ref="BD16:BH16"/>
    <mergeCell ref="BI24:BM24"/>
    <mergeCell ref="A116:E116"/>
    <mergeCell ref="BD24:BH24"/>
    <mergeCell ref="BI32:BM32"/>
    <mergeCell ref="K116:O116"/>
    <mergeCell ref="BI16:BM16"/>
    <mergeCell ref="BD32:BH32"/>
    <mergeCell ref="B3:D7"/>
    <mergeCell ref="B167:I167"/>
    <mergeCell ref="BT8:BY8"/>
    <mergeCell ref="C2:H2"/>
    <mergeCell ref="BD8:BH8"/>
    <mergeCell ref="A150:F150"/>
    <mergeCell ref="BN24:BR24"/>
    <mergeCell ref="K140:O140"/>
    <mergeCell ref="B166:I166"/>
    <mergeCell ref="F140:J140"/>
    <mergeCell ref="BW24:CD24"/>
    <mergeCell ref="K132:O132"/>
    <mergeCell ref="A140:E140"/>
    <mergeCell ref="BW23:CD23"/>
    <mergeCell ref="F132:J132"/>
    <mergeCell ref="K124:O124"/>
    <mergeCell ref="F116:J116"/>
    <mergeCell ref="BN8:BR8"/>
    <mergeCell ref="A132:E132"/>
    <mergeCell ref="BN16:BR16"/>
    <mergeCell ref="BN32:BR32"/>
    <mergeCell ref="F124:J124"/>
    <mergeCell ref="A124:E124"/>
    <mergeCell ref="BI8:BM8"/>
  </mergeCells>
  <conditionalFormatting sqref="F9:G112">
    <cfRule type="cellIs" dxfId="0" priority="1" operator="greaterThanOrEqual">
      <formula>0</formula>
    </cfRule>
  </conditionalFormatting>
  <dataValidations count="2">
    <dataValidation type="list" allowBlank="1" showInputMessage="1" showErrorMessage="1" sqref="B2" xr:uid="{00000000-0002-0000-0000-000000000000}">
      <formula1>"España,México,Chile,Perú,Colombia,Argentina,Ecuador"</formula1>
    </dataValidation>
    <dataValidation type="whole" operator="greaterThanOrEqual" allowBlank="1" errorTitle="Resultado no válido" error="Introduce un número entero igual o mayor que 0." sqref="F9:G112 K9:L78 K81:L112" xr:uid="{00000000-0002-0000-0000-000001000000}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Calendario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</dc:creator>
  <cp:lastModifiedBy>Nikolaj Juul Nielsen</cp:lastModifiedBy>
  <dcterms:created xsi:type="dcterms:W3CDTF">2026-05-26T17:32:38Z</dcterms:created>
  <dcterms:modified xsi:type="dcterms:W3CDTF">2026-05-26T17:51:33Z</dcterms:modified>
</cp:coreProperties>
</file>